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esktop\"/>
    </mc:Choice>
  </mc:AlternateContent>
  <xr:revisionPtr revIDLastSave="0" documentId="13_ncr:1_{49185801-2477-40BB-A6F6-230A85F835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UIMIENTO" sheetId="1" r:id="rId1"/>
    <sheet name="TOTALES" sheetId="3" r:id="rId2"/>
    <sheet name="DATOS" sheetId="2" state="hidden" r:id="rId3"/>
  </sheets>
  <definedNames>
    <definedName name="_xlnm.Print_Area" localSheetId="0">SEGUIMIENTO!$A$1:$AE$122</definedName>
    <definedName name="_xlnm.Print_Area" localSheetId="1">TOTALES!$B$1:$DS$106</definedName>
    <definedName name="BuiltIn_Print_Area">#REF!</definedName>
    <definedName name="c_especial">DATOS!$B$2:$B$6</definedName>
    <definedName name="G_ETNICO">DATOS!$A$2:$A$5</definedName>
    <definedName name="GE" comment="RED" localSheetId="0">DATOS!$A$2:$A$5</definedName>
    <definedName name="GRUPO_ETNICO" localSheetId="0">DATOS!$A$2:$A$5</definedName>
    <definedName name="GRUPO_ETNICO">SEGUIMIENTO!$Y$103:$Y$126</definedName>
    <definedName name="identifica">DATOS!$D$2:$D$8</definedName>
    <definedName name="sexo">DATOS!$C$2:$C$3</definedName>
    <definedName name="_xlnm.Print_Titles" localSheetId="0">SEGUIMIENTO!$1:$22</definedName>
    <definedName name="_xlnm.Print_Titles" localSheetId="1">TOTALES!$B:$M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9" i="3" l="1"/>
  <c r="BC2" i="3"/>
  <c r="CN2" i="3" s="1"/>
  <c r="S3" i="3"/>
  <c r="BC3" i="3" s="1"/>
  <c r="CN3" i="3" s="1"/>
  <c r="AO2" i="3"/>
  <c r="BY2" i="3" s="1"/>
  <c r="DJ2" i="3" s="1"/>
  <c r="AB2" i="3"/>
  <c r="BL2" i="3" s="1"/>
  <c r="CW2" i="3" s="1"/>
  <c r="S2" i="3"/>
  <c r="AB6" i="3"/>
  <c r="BL6" i="3" s="1"/>
  <c r="CW6" i="3" s="1"/>
  <c r="AK4" i="3"/>
  <c r="BU4" i="3" s="1"/>
  <c r="DF4" i="3" s="1"/>
  <c r="S4" i="3"/>
  <c r="BC4" i="3" s="1"/>
  <c r="CN4" i="3" s="1"/>
  <c r="S6" i="3"/>
  <c r="BC6" i="3" s="1"/>
  <c r="CN6" i="3" s="1"/>
  <c r="AS1" i="3"/>
  <c r="CC1" i="3" s="1"/>
  <c r="DN1" i="3" s="1"/>
  <c r="S1" i="3"/>
  <c r="BC1" i="3" s="1"/>
  <c r="CN1" i="3" s="1"/>
  <c r="B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64" i="3"/>
  <c r="M65" i="3"/>
  <c r="M66" i="3"/>
  <c r="M67" i="3"/>
  <c r="M68" i="3"/>
  <c r="M69" i="3"/>
  <c r="M70" i="3"/>
  <c r="M71" i="3"/>
  <c r="M74" i="3"/>
  <c r="M75" i="3"/>
  <c r="M78" i="3"/>
  <c r="M79" i="3"/>
  <c r="M80" i="3"/>
  <c r="M81" i="3"/>
  <c r="M82" i="3"/>
  <c r="M83" i="3"/>
  <c r="M84" i="3"/>
  <c r="M85" i="3"/>
  <c r="M86" i="3"/>
  <c r="BY102" i="3"/>
  <c r="CW78" i="3" s="1"/>
  <c r="BV103" i="3"/>
  <c r="CX75" i="3" s="1"/>
  <c r="CG59" i="3"/>
  <c r="BF86" i="3" s="1"/>
  <c r="CF59" i="3"/>
  <c r="BF85" i="3" s="1"/>
  <c r="CE59" i="3"/>
  <c r="BF84" i="3" s="1"/>
  <c r="CD59" i="3"/>
  <c r="BF83" i="3" s="1"/>
  <c r="CC59" i="3"/>
  <c r="BF82" i="3" s="1"/>
  <c r="CB59" i="3"/>
  <c r="BF81" i="3" s="1"/>
  <c r="CA59" i="3"/>
  <c r="BF80" i="3" s="1"/>
  <c r="BZ59" i="3"/>
  <c r="BF79" i="3" s="1"/>
  <c r="BY59" i="3"/>
  <c r="BF78" i="3" s="1"/>
  <c r="BV59" i="3"/>
  <c r="BF75" i="3" s="1"/>
  <c r="BU59" i="3"/>
  <c r="BF74" i="3" s="1"/>
  <c r="BR59" i="3"/>
  <c r="BF71" i="3" s="1"/>
  <c r="BQ59" i="3"/>
  <c r="BF70" i="3" s="1"/>
  <c r="BP59" i="3"/>
  <c r="BF69" i="3" s="1"/>
  <c r="BO59" i="3"/>
  <c r="BF68" i="3" s="1"/>
  <c r="BN59" i="3"/>
  <c r="BF67" i="3" s="1"/>
  <c r="BM59" i="3"/>
  <c r="BF66" i="3" s="1"/>
  <c r="BL59" i="3"/>
  <c r="BF65" i="3" s="1"/>
  <c r="BK59" i="3"/>
  <c r="BF64" i="3" s="1"/>
  <c r="CZ59" i="3"/>
  <c r="BF105" i="3" s="1"/>
  <c r="CY59" i="3"/>
  <c r="BF104" i="3" s="1"/>
  <c r="CX59" i="3"/>
  <c r="BF103" i="3" s="1"/>
  <c r="CW59" i="3"/>
  <c r="BF102" i="3" s="1"/>
  <c r="CV59" i="3"/>
  <c r="BF101" i="3" s="1"/>
  <c r="CU59" i="3"/>
  <c r="BF100" i="3" s="1"/>
  <c r="CT59" i="3"/>
  <c r="BF99" i="3" s="1"/>
  <c r="CS59" i="3"/>
  <c r="BF98" i="3" s="1"/>
  <c r="CR59" i="3"/>
  <c r="BF97" i="3" s="1"/>
  <c r="CQ59" i="3"/>
  <c r="BF96" i="3" s="1"/>
  <c r="CP59" i="3"/>
  <c r="BF95" i="3" s="1"/>
  <c r="CO59" i="3"/>
  <c r="BF94" i="3" s="1"/>
  <c r="CN59" i="3"/>
  <c r="BF93" i="3" s="1"/>
  <c r="CM59" i="3"/>
  <c r="BF92" i="3" s="1"/>
  <c r="CL59" i="3"/>
  <c r="BF91" i="3" s="1"/>
  <c r="CK59" i="3"/>
  <c r="BF90" i="3" s="1"/>
  <c r="CJ59" i="3"/>
  <c r="BF89" i="3" s="1"/>
  <c r="CJ60" i="3"/>
  <c r="BG89" i="3" s="1"/>
  <c r="M76" i="3" l="1"/>
  <c r="M106" i="3"/>
  <c r="M72" i="3"/>
  <c r="M87" i="3"/>
  <c r="CB69" i="3" l="1"/>
  <c r="BP81" i="3" s="1"/>
  <c r="CB70" i="3"/>
  <c r="BQ81" i="3" s="1"/>
  <c r="CB71" i="3"/>
  <c r="BR81" i="3" s="1"/>
  <c r="BK40" i="3"/>
  <c r="AM64" i="3" s="1"/>
  <c r="BP38" i="3"/>
  <c r="AK69" i="3" s="1"/>
  <c r="CM48" i="3"/>
  <c r="AU92" i="3" s="1"/>
  <c r="CS46" i="3"/>
  <c r="AS98" i="3" s="1"/>
  <c r="BM95" i="3"/>
  <c r="CP66" i="3" s="1"/>
  <c r="BZ30" i="3"/>
  <c r="AC79" i="3" s="1"/>
  <c r="BY27" i="3"/>
  <c r="Z78" i="3" s="1"/>
  <c r="CB74" i="3"/>
  <c r="BU81" i="3" s="1"/>
  <c r="BL21" i="3"/>
  <c r="T65" i="3" s="1"/>
  <c r="BF87" i="3" l="1"/>
  <c r="BF76" i="3"/>
  <c r="BF106" i="3"/>
  <c r="BF72" i="3" s="1"/>
  <c r="AJ21" i="3"/>
  <c r="T37" i="3" s="1"/>
  <c r="BF49" i="3"/>
  <c r="AV59" i="3" s="1"/>
  <c r="BF48" i="3"/>
  <c r="AU59" i="3" s="1"/>
  <c r="BF47" i="3"/>
  <c r="AT59" i="3" s="1"/>
  <c r="BF46" i="3"/>
  <c r="AS59" i="3" s="1"/>
  <c r="BF45" i="3"/>
  <c r="AR59" i="3" s="1"/>
  <c r="BF44" i="3"/>
  <c r="AQ59" i="3" s="1"/>
  <c r="BF43" i="3"/>
  <c r="AP59" i="3" s="1"/>
  <c r="BF42" i="3"/>
  <c r="AO59" i="3" s="1"/>
  <c r="BF41" i="3"/>
  <c r="AN59" i="3" s="1"/>
  <c r="BF40" i="3"/>
  <c r="AM59" i="3" s="1"/>
  <c r="BF39" i="3"/>
  <c r="AL59" i="3" s="1"/>
  <c r="BF38" i="3"/>
  <c r="AK59" i="3" s="1"/>
  <c r="BF37" i="3"/>
  <c r="AJ59" i="3" s="1"/>
  <c r="BF30" i="3"/>
  <c r="AC59" i="3" s="1"/>
  <c r="BF29" i="3"/>
  <c r="AB59" i="3" s="1"/>
  <c r="BF28" i="3"/>
  <c r="AA59" i="3" s="1"/>
  <c r="BF27" i="3"/>
  <c r="Z59" i="3" s="1"/>
  <c r="BF26" i="3"/>
  <c r="Y59" i="3" s="1"/>
  <c r="BF25" i="3"/>
  <c r="X59" i="3" s="1"/>
  <c r="BF24" i="3"/>
  <c r="W59" i="3" s="1"/>
  <c r="BF21" i="3"/>
  <c r="T59" i="3" s="1"/>
  <c r="BF20" i="3"/>
  <c r="S59" i="3" s="1"/>
  <c r="BF19" i="3"/>
  <c r="R59" i="3" s="1"/>
  <c r="BF18" i="3"/>
  <c r="Q59" i="3" s="1"/>
  <c r="BF17" i="3"/>
  <c r="P59" i="3" s="1"/>
  <c r="BF16" i="3"/>
  <c r="O59" i="3" s="1"/>
  <c r="AV34" i="3"/>
  <c r="AG49" i="3" s="1"/>
  <c r="AY49" i="3"/>
  <c r="AV52" i="3" s="1"/>
  <c r="AY48" i="3"/>
  <c r="AU52" i="3" s="1"/>
  <c r="AY47" i="3"/>
  <c r="AT52" i="3" s="1"/>
  <c r="AY46" i="3"/>
  <c r="AS52" i="3" s="1"/>
  <c r="AY45" i="3"/>
  <c r="AR52" i="3" s="1"/>
  <c r="AY44" i="3"/>
  <c r="AQ52" i="3" s="1"/>
  <c r="AY43" i="3"/>
  <c r="AP52" i="3" s="1"/>
  <c r="AY42" i="3"/>
  <c r="AO52" i="3" s="1"/>
  <c r="AY41" i="3"/>
  <c r="AN52" i="3" s="1"/>
  <c r="AY40" i="3"/>
  <c r="AM52" i="3" s="1"/>
  <c r="AY39" i="3"/>
  <c r="AL52" i="3" s="1"/>
  <c r="AY38" i="3"/>
  <c r="AK52" i="3" s="1"/>
  <c r="AY37" i="3"/>
  <c r="AJ52" i="3" s="1"/>
  <c r="CG75" i="3"/>
  <c r="BV86" i="3" s="1"/>
  <c r="CF75" i="3"/>
  <c r="BV85" i="3" s="1"/>
  <c r="CE75" i="3"/>
  <c r="BV84" i="3" s="1"/>
  <c r="CD75" i="3"/>
  <c r="BV83" i="3" s="1"/>
  <c r="CC75" i="3"/>
  <c r="BV82" i="3" s="1"/>
  <c r="CB75" i="3"/>
  <c r="BV81" i="3" s="1"/>
  <c r="CA75" i="3"/>
  <c r="BV80" i="3" s="1"/>
  <c r="BZ75" i="3"/>
  <c r="BV79" i="3" s="1"/>
  <c r="BY75" i="3"/>
  <c r="BV78" i="3" s="1"/>
  <c r="CG74" i="3"/>
  <c r="BU86" i="3" s="1"/>
  <c r="CF74" i="3"/>
  <c r="BU85" i="3" s="1"/>
  <c r="CE74" i="3"/>
  <c r="BU84" i="3" s="1"/>
  <c r="CD74" i="3"/>
  <c r="BU83" i="3" s="1"/>
  <c r="CC74" i="3"/>
  <c r="BU82" i="3" s="1"/>
  <c r="CA74" i="3"/>
  <c r="BU80" i="3" s="1"/>
  <c r="BZ74" i="3"/>
  <c r="BU79" i="3" s="1"/>
  <c r="BY74" i="3"/>
  <c r="BU78" i="3" s="1"/>
  <c r="CG71" i="3"/>
  <c r="BR86" i="3" s="1"/>
  <c r="CF71" i="3"/>
  <c r="BR85" i="3" s="1"/>
  <c r="CE71" i="3"/>
  <c r="BR84" i="3" s="1"/>
  <c r="CD71" i="3"/>
  <c r="BR83" i="3" s="1"/>
  <c r="CC71" i="3"/>
  <c r="BR82" i="3" s="1"/>
  <c r="CA71" i="3"/>
  <c r="BR80" i="3" s="1"/>
  <c r="BZ71" i="3"/>
  <c r="BR79" i="3" s="1"/>
  <c r="BY71" i="3"/>
  <c r="BR78" i="3" s="1"/>
  <c r="CG70" i="3"/>
  <c r="BQ86" i="3" s="1"/>
  <c r="CF70" i="3"/>
  <c r="BQ85" i="3" s="1"/>
  <c r="CE70" i="3"/>
  <c r="BQ84" i="3" s="1"/>
  <c r="CD70" i="3"/>
  <c r="BQ83" i="3" s="1"/>
  <c r="CC70" i="3"/>
  <c r="BQ82" i="3" s="1"/>
  <c r="CA70" i="3"/>
  <c r="BQ80" i="3" s="1"/>
  <c r="BZ70" i="3"/>
  <c r="BQ79" i="3" s="1"/>
  <c r="BY70" i="3"/>
  <c r="BQ78" i="3" s="1"/>
  <c r="CG69" i="3"/>
  <c r="BP86" i="3" s="1"/>
  <c r="CF69" i="3"/>
  <c r="BP85" i="3" s="1"/>
  <c r="CE69" i="3"/>
  <c r="BP84" i="3" s="1"/>
  <c r="CD69" i="3"/>
  <c r="BP83" i="3" s="1"/>
  <c r="CC69" i="3"/>
  <c r="BP82" i="3" s="1"/>
  <c r="CA69" i="3"/>
  <c r="BP80" i="3" s="1"/>
  <c r="BZ69" i="3"/>
  <c r="BP79" i="3" s="1"/>
  <c r="BY69" i="3"/>
  <c r="BP78" i="3" s="1"/>
  <c r="CG68" i="3"/>
  <c r="BO86" i="3" s="1"/>
  <c r="CF68" i="3"/>
  <c r="BO85" i="3" s="1"/>
  <c r="CE68" i="3"/>
  <c r="BO84" i="3" s="1"/>
  <c r="CD68" i="3"/>
  <c r="BO83" i="3" s="1"/>
  <c r="CC68" i="3"/>
  <c r="BO82" i="3" s="1"/>
  <c r="CB68" i="3"/>
  <c r="BO81" i="3" s="1"/>
  <c r="CA68" i="3"/>
  <c r="BO80" i="3" s="1"/>
  <c r="BZ68" i="3"/>
  <c r="BO79" i="3" s="1"/>
  <c r="BY68" i="3"/>
  <c r="BO78" i="3" s="1"/>
  <c r="CG67" i="3"/>
  <c r="BN86" i="3" s="1"/>
  <c r="CF67" i="3"/>
  <c r="BN85" i="3" s="1"/>
  <c r="CE67" i="3"/>
  <c r="BN84" i="3" s="1"/>
  <c r="CD67" i="3"/>
  <c r="BN83" i="3" s="1"/>
  <c r="CC67" i="3"/>
  <c r="BN82" i="3" s="1"/>
  <c r="CB67" i="3"/>
  <c r="BN81" i="3" s="1"/>
  <c r="CA67" i="3"/>
  <c r="BN80" i="3" s="1"/>
  <c r="BZ67" i="3"/>
  <c r="BN79" i="3" s="1"/>
  <c r="BY67" i="3"/>
  <c r="BN78" i="3" s="1"/>
  <c r="CG66" i="3"/>
  <c r="BM86" i="3" s="1"/>
  <c r="CF66" i="3"/>
  <c r="BM85" i="3" s="1"/>
  <c r="CE66" i="3"/>
  <c r="BM84" i="3" s="1"/>
  <c r="CD66" i="3"/>
  <c r="BM83" i="3" s="1"/>
  <c r="CC66" i="3"/>
  <c r="BM82" i="3" s="1"/>
  <c r="CB66" i="3"/>
  <c r="BM81" i="3" s="1"/>
  <c r="CA66" i="3"/>
  <c r="BM80" i="3" s="1"/>
  <c r="BZ66" i="3"/>
  <c r="BM79" i="3" s="1"/>
  <c r="BY66" i="3"/>
  <c r="BM78" i="3" s="1"/>
  <c r="BZ65" i="3"/>
  <c r="BL79" i="3" s="1"/>
  <c r="CG65" i="3"/>
  <c r="BL86" i="3" s="1"/>
  <c r="CF65" i="3"/>
  <c r="BL85" i="3" s="1"/>
  <c r="CE65" i="3"/>
  <c r="BL84" i="3" s="1"/>
  <c r="CD65" i="3"/>
  <c r="BL83" i="3" s="1"/>
  <c r="CC65" i="3"/>
  <c r="BL82" i="3" s="1"/>
  <c r="CB65" i="3"/>
  <c r="BL81" i="3" s="1"/>
  <c r="CA65" i="3"/>
  <c r="BL80" i="3" s="1"/>
  <c r="BY65" i="3"/>
  <c r="BL78" i="3" s="1"/>
  <c r="CG64" i="3"/>
  <c r="BK86" i="3" s="1"/>
  <c r="CF64" i="3"/>
  <c r="BK85" i="3" s="1"/>
  <c r="CE64" i="3"/>
  <c r="BK84" i="3" s="1"/>
  <c r="CD64" i="3"/>
  <c r="BK83" i="3" s="1"/>
  <c r="CC64" i="3"/>
  <c r="BK82" i="3" s="1"/>
  <c r="CB64" i="3"/>
  <c r="BK81" i="3" s="1"/>
  <c r="CA64" i="3"/>
  <c r="BK80" i="3" s="1"/>
  <c r="BZ64" i="3"/>
  <c r="BK79" i="3" s="1"/>
  <c r="BY64" i="3"/>
  <c r="BK78" i="3" s="1"/>
  <c r="BV71" i="3"/>
  <c r="BR75" i="3" s="1"/>
  <c r="BV70" i="3"/>
  <c r="BQ75" i="3" s="1"/>
  <c r="BV69" i="3"/>
  <c r="BP75" i="3" s="1"/>
  <c r="BV68" i="3"/>
  <c r="BO75" i="3" s="1"/>
  <c r="BV67" i="3"/>
  <c r="BN75" i="3" s="1"/>
  <c r="BV66" i="3"/>
  <c r="BM75" i="3" s="1"/>
  <c r="BV65" i="3"/>
  <c r="BL75" i="3" s="1"/>
  <c r="BV64" i="3"/>
  <c r="BK75" i="3" s="1"/>
  <c r="BU70" i="3"/>
  <c r="BQ74" i="3" s="1"/>
  <c r="BU69" i="3"/>
  <c r="BP74" i="3" s="1"/>
  <c r="BU68" i="3"/>
  <c r="BO74" i="3" s="1"/>
  <c r="BU67" i="3"/>
  <c r="BN74" i="3" s="1"/>
  <c r="BU66" i="3"/>
  <c r="BM74" i="3" s="1"/>
  <c r="BU65" i="3"/>
  <c r="BL74" i="3" s="1"/>
  <c r="BU64" i="3"/>
  <c r="BK74" i="3" s="1"/>
  <c r="BU71" i="3"/>
  <c r="BR74" i="3" s="1"/>
  <c r="CG105" i="3"/>
  <c r="CZ86" i="3" s="1"/>
  <c r="CG104" i="3"/>
  <c r="CY86" i="3" s="1"/>
  <c r="CG103" i="3"/>
  <c r="CX86" i="3" s="1"/>
  <c r="CG102" i="3"/>
  <c r="CW86" i="3" s="1"/>
  <c r="CG101" i="3"/>
  <c r="CV86" i="3" s="1"/>
  <c r="CG100" i="3"/>
  <c r="CU86" i="3" s="1"/>
  <c r="CG99" i="3"/>
  <c r="CT86" i="3" s="1"/>
  <c r="CG98" i="3"/>
  <c r="CS86" i="3" s="1"/>
  <c r="CG97" i="3"/>
  <c r="CR86" i="3" s="1"/>
  <c r="CG96" i="3"/>
  <c r="CQ86" i="3" s="1"/>
  <c r="CG95" i="3"/>
  <c r="CP86" i="3" s="1"/>
  <c r="CG94" i="3"/>
  <c r="CO86" i="3" s="1"/>
  <c r="CG93" i="3"/>
  <c r="CN86" i="3" s="1"/>
  <c r="CG92" i="3"/>
  <c r="CM86" i="3" s="1"/>
  <c r="CG91" i="3"/>
  <c r="CL86" i="3" s="1"/>
  <c r="CG90" i="3"/>
  <c r="CK86" i="3" s="1"/>
  <c r="CG89" i="3"/>
  <c r="CJ86" i="3" s="1"/>
  <c r="CF105" i="3"/>
  <c r="CZ85" i="3" s="1"/>
  <c r="CF104" i="3"/>
  <c r="CY85" i="3" s="1"/>
  <c r="CF103" i="3"/>
  <c r="CX85" i="3" s="1"/>
  <c r="CF102" i="3"/>
  <c r="CW85" i="3" s="1"/>
  <c r="CF101" i="3"/>
  <c r="CV85" i="3" s="1"/>
  <c r="CF100" i="3"/>
  <c r="CU85" i="3" s="1"/>
  <c r="CF99" i="3"/>
  <c r="CT85" i="3" s="1"/>
  <c r="CF98" i="3"/>
  <c r="CS85" i="3" s="1"/>
  <c r="CF97" i="3"/>
  <c r="CR85" i="3" s="1"/>
  <c r="CF96" i="3"/>
  <c r="CQ85" i="3" s="1"/>
  <c r="CF95" i="3"/>
  <c r="CP85" i="3" s="1"/>
  <c r="CF94" i="3"/>
  <c r="CO85" i="3" s="1"/>
  <c r="CF93" i="3"/>
  <c r="CN85" i="3" s="1"/>
  <c r="CF92" i="3"/>
  <c r="CM85" i="3" s="1"/>
  <c r="CF91" i="3"/>
  <c r="CL85" i="3" s="1"/>
  <c r="CF90" i="3"/>
  <c r="CK85" i="3" s="1"/>
  <c r="CF89" i="3"/>
  <c r="CJ85" i="3" s="1"/>
  <c r="CE105" i="3"/>
  <c r="CZ84" i="3" s="1"/>
  <c r="CE104" i="3"/>
  <c r="CY84" i="3" s="1"/>
  <c r="CE103" i="3"/>
  <c r="CX84" i="3" s="1"/>
  <c r="CE102" i="3"/>
  <c r="CW84" i="3" s="1"/>
  <c r="CE101" i="3"/>
  <c r="CV84" i="3" s="1"/>
  <c r="CE100" i="3"/>
  <c r="CU84" i="3" s="1"/>
  <c r="CE99" i="3"/>
  <c r="CT84" i="3" s="1"/>
  <c r="CE98" i="3"/>
  <c r="CS84" i="3" s="1"/>
  <c r="CE97" i="3"/>
  <c r="CR84" i="3" s="1"/>
  <c r="CE96" i="3"/>
  <c r="CQ84" i="3" s="1"/>
  <c r="CE95" i="3"/>
  <c r="CP84" i="3" s="1"/>
  <c r="CE94" i="3"/>
  <c r="CO84" i="3" s="1"/>
  <c r="CE93" i="3"/>
  <c r="CN84" i="3" s="1"/>
  <c r="CE92" i="3"/>
  <c r="CM84" i="3" s="1"/>
  <c r="CE91" i="3"/>
  <c r="CL84" i="3" s="1"/>
  <c r="CE90" i="3"/>
  <c r="CK84" i="3" s="1"/>
  <c r="CE89" i="3"/>
  <c r="CJ84" i="3" s="1"/>
  <c r="CD105" i="3"/>
  <c r="CZ83" i="3" s="1"/>
  <c r="CD104" i="3"/>
  <c r="CY83" i="3" s="1"/>
  <c r="CD103" i="3"/>
  <c r="CX83" i="3" s="1"/>
  <c r="CD102" i="3"/>
  <c r="CW83" i="3" s="1"/>
  <c r="CD101" i="3"/>
  <c r="CV83" i="3" s="1"/>
  <c r="CD100" i="3"/>
  <c r="CU83" i="3" s="1"/>
  <c r="CD99" i="3"/>
  <c r="CT83" i="3" s="1"/>
  <c r="CD98" i="3"/>
  <c r="CS83" i="3" s="1"/>
  <c r="CD97" i="3"/>
  <c r="CR83" i="3" s="1"/>
  <c r="CD96" i="3"/>
  <c r="CQ83" i="3" s="1"/>
  <c r="CD95" i="3"/>
  <c r="CP83" i="3" s="1"/>
  <c r="CD94" i="3"/>
  <c r="CO83" i="3" s="1"/>
  <c r="CD93" i="3"/>
  <c r="CN83" i="3" s="1"/>
  <c r="CD92" i="3"/>
  <c r="CM83" i="3" s="1"/>
  <c r="CD91" i="3"/>
  <c r="CL83" i="3" s="1"/>
  <c r="CD90" i="3"/>
  <c r="CK83" i="3" s="1"/>
  <c r="CD89" i="3"/>
  <c r="CJ83" i="3" s="1"/>
  <c r="CC105" i="3"/>
  <c r="CZ82" i="3" s="1"/>
  <c r="CC104" i="3"/>
  <c r="CY82" i="3" s="1"/>
  <c r="CC103" i="3"/>
  <c r="CX82" i="3" s="1"/>
  <c r="CC102" i="3"/>
  <c r="CW82" i="3" s="1"/>
  <c r="CC101" i="3"/>
  <c r="CV82" i="3" s="1"/>
  <c r="CC100" i="3"/>
  <c r="CU82" i="3" s="1"/>
  <c r="CC99" i="3"/>
  <c r="CT82" i="3" s="1"/>
  <c r="CC98" i="3"/>
  <c r="CS82" i="3" s="1"/>
  <c r="CC97" i="3"/>
  <c r="CR82" i="3" s="1"/>
  <c r="CC96" i="3"/>
  <c r="CQ82" i="3" s="1"/>
  <c r="CC95" i="3"/>
  <c r="CP82" i="3" s="1"/>
  <c r="CC94" i="3"/>
  <c r="CO82" i="3" s="1"/>
  <c r="CC93" i="3"/>
  <c r="CN82" i="3" s="1"/>
  <c r="CC92" i="3"/>
  <c r="CM82" i="3" s="1"/>
  <c r="CC91" i="3"/>
  <c r="CL82" i="3" s="1"/>
  <c r="CC90" i="3"/>
  <c r="CK82" i="3" s="1"/>
  <c r="CC89" i="3"/>
  <c r="CJ82" i="3" s="1"/>
  <c r="CB105" i="3"/>
  <c r="CZ81" i="3" s="1"/>
  <c r="CB104" i="3"/>
  <c r="CY81" i="3" s="1"/>
  <c r="CB103" i="3"/>
  <c r="CX81" i="3" s="1"/>
  <c r="CB102" i="3"/>
  <c r="CW81" i="3" s="1"/>
  <c r="CB101" i="3"/>
  <c r="CV81" i="3" s="1"/>
  <c r="CB100" i="3"/>
  <c r="CU81" i="3" s="1"/>
  <c r="CB99" i="3"/>
  <c r="CT81" i="3" s="1"/>
  <c r="CB98" i="3"/>
  <c r="CS81" i="3" s="1"/>
  <c r="CB97" i="3"/>
  <c r="CR81" i="3" s="1"/>
  <c r="CB96" i="3"/>
  <c r="CQ81" i="3" s="1"/>
  <c r="CB95" i="3"/>
  <c r="CP81" i="3" s="1"/>
  <c r="CB94" i="3"/>
  <c r="CO81" i="3" s="1"/>
  <c r="CB93" i="3"/>
  <c r="CN81" i="3" s="1"/>
  <c r="CB92" i="3"/>
  <c r="CM81" i="3" s="1"/>
  <c r="CB91" i="3"/>
  <c r="CL81" i="3" s="1"/>
  <c r="CB90" i="3"/>
  <c r="CK81" i="3" s="1"/>
  <c r="CB89" i="3"/>
  <c r="CJ81" i="3" s="1"/>
  <c r="CA105" i="3"/>
  <c r="CZ80" i="3" s="1"/>
  <c r="CA104" i="3"/>
  <c r="CY80" i="3" s="1"/>
  <c r="CA103" i="3"/>
  <c r="CX80" i="3" s="1"/>
  <c r="CA102" i="3"/>
  <c r="CW80" i="3" s="1"/>
  <c r="CA101" i="3"/>
  <c r="CV80" i="3" s="1"/>
  <c r="CA100" i="3"/>
  <c r="CU80" i="3" s="1"/>
  <c r="CA99" i="3"/>
  <c r="CT80" i="3" s="1"/>
  <c r="CA98" i="3"/>
  <c r="CS80" i="3" s="1"/>
  <c r="CA97" i="3"/>
  <c r="CR80" i="3" s="1"/>
  <c r="CA96" i="3"/>
  <c r="CQ80" i="3" s="1"/>
  <c r="CA95" i="3"/>
  <c r="CP80" i="3" s="1"/>
  <c r="CA94" i="3"/>
  <c r="CO80" i="3" s="1"/>
  <c r="CA93" i="3"/>
  <c r="CN80" i="3" s="1"/>
  <c r="CA92" i="3"/>
  <c r="CM80" i="3" s="1"/>
  <c r="CA91" i="3"/>
  <c r="CL80" i="3" s="1"/>
  <c r="CA90" i="3"/>
  <c r="CK80" i="3" s="1"/>
  <c r="CA89" i="3"/>
  <c r="CJ80" i="3" s="1"/>
  <c r="BZ105" i="3"/>
  <c r="CZ79" i="3" s="1"/>
  <c r="BZ104" i="3"/>
  <c r="CY79" i="3" s="1"/>
  <c r="BZ103" i="3"/>
  <c r="CX79" i="3" s="1"/>
  <c r="BZ102" i="3"/>
  <c r="CW79" i="3" s="1"/>
  <c r="BZ101" i="3"/>
  <c r="CV79" i="3" s="1"/>
  <c r="BZ100" i="3"/>
  <c r="CU79" i="3" s="1"/>
  <c r="BZ99" i="3"/>
  <c r="CT79" i="3" s="1"/>
  <c r="BZ98" i="3"/>
  <c r="CS79" i="3" s="1"/>
  <c r="BZ97" i="3"/>
  <c r="CR79" i="3" s="1"/>
  <c r="BZ96" i="3"/>
  <c r="CQ79" i="3" s="1"/>
  <c r="BZ95" i="3"/>
  <c r="CP79" i="3" s="1"/>
  <c r="BZ94" i="3"/>
  <c r="CO79" i="3" s="1"/>
  <c r="BZ93" i="3"/>
  <c r="CN79" i="3" s="1"/>
  <c r="BZ92" i="3"/>
  <c r="CM79" i="3" s="1"/>
  <c r="BZ91" i="3"/>
  <c r="CL79" i="3" s="1"/>
  <c r="BZ90" i="3"/>
  <c r="CK79" i="3" s="1"/>
  <c r="BZ89" i="3"/>
  <c r="CJ79" i="3" s="1"/>
  <c r="BY105" i="3"/>
  <c r="CZ78" i="3" s="1"/>
  <c r="BY104" i="3"/>
  <c r="CY78" i="3" s="1"/>
  <c r="BY103" i="3"/>
  <c r="CX78" i="3" s="1"/>
  <c r="BY101" i="3"/>
  <c r="CV78" i="3" s="1"/>
  <c r="BY100" i="3"/>
  <c r="CU78" i="3" s="1"/>
  <c r="BY99" i="3"/>
  <c r="CT78" i="3" s="1"/>
  <c r="BY98" i="3"/>
  <c r="CS78" i="3" s="1"/>
  <c r="BY97" i="3"/>
  <c r="CR78" i="3" s="1"/>
  <c r="BY96" i="3"/>
  <c r="CQ78" i="3" s="1"/>
  <c r="BY95" i="3"/>
  <c r="CP78" i="3" s="1"/>
  <c r="BY94" i="3"/>
  <c r="CO78" i="3" s="1"/>
  <c r="BY93" i="3"/>
  <c r="CN78" i="3" s="1"/>
  <c r="BY92" i="3"/>
  <c r="CM78" i="3" s="1"/>
  <c r="BY91" i="3"/>
  <c r="CL78" i="3" s="1"/>
  <c r="BY90" i="3"/>
  <c r="CK78" i="3" s="1"/>
  <c r="BY89" i="3"/>
  <c r="CJ78" i="3" s="1"/>
  <c r="BV105" i="3"/>
  <c r="CZ75" i="3" s="1"/>
  <c r="BU105" i="3"/>
  <c r="CZ74" i="3" s="1"/>
  <c r="BV104" i="3"/>
  <c r="CY75" i="3" s="1"/>
  <c r="BU104" i="3"/>
  <c r="CY74" i="3" s="1"/>
  <c r="BU103" i="3"/>
  <c r="CX74" i="3" s="1"/>
  <c r="CX76" i="3" s="1"/>
  <c r="BV102" i="3"/>
  <c r="CW75" i="3" s="1"/>
  <c r="BU102" i="3"/>
  <c r="CW74" i="3" s="1"/>
  <c r="BV101" i="3"/>
  <c r="CV75" i="3" s="1"/>
  <c r="BU101" i="3"/>
  <c r="CV74" i="3" s="1"/>
  <c r="BV100" i="3"/>
  <c r="CU75" i="3" s="1"/>
  <c r="BU100" i="3"/>
  <c r="CU74" i="3" s="1"/>
  <c r="BV99" i="3"/>
  <c r="CT75" i="3" s="1"/>
  <c r="BU99" i="3"/>
  <c r="CT74" i="3" s="1"/>
  <c r="BV98" i="3"/>
  <c r="CS75" i="3" s="1"/>
  <c r="BU98" i="3"/>
  <c r="CS74" i="3" s="1"/>
  <c r="BV97" i="3"/>
  <c r="CR75" i="3" s="1"/>
  <c r="BU97" i="3"/>
  <c r="CR74" i="3" s="1"/>
  <c r="BV96" i="3"/>
  <c r="CQ75" i="3" s="1"/>
  <c r="BU96" i="3"/>
  <c r="CQ74" i="3" s="1"/>
  <c r="BV95" i="3"/>
  <c r="CP75" i="3" s="1"/>
  <c r="BU95" i="3"/>
  <c r="CP74" i="3" s="1"/>
  <c r="BV94" i="3"/>
  <c r="CO75" i="3" s="1"/>
  <c r="BU94" i="3"/>
  <c r="CO74" i="3" s="1"/>
  <c r="BV93" i="3"/>
  <c r="CN75" i="3" s="1"/>
  <c r="BU93" i="3"/>
  <c r="CN74" i="3" s="1"/>
  <c r="BV92" i="3"/>
  <c r="CM75" i="3" s="1"/>
  <c r="BU92" i="3"/>
  <c r="CM74" i="3" s="1"/>
  <c r="BV91" i="3"/>
  <c r="CL75" i="3" s="1"/>
  <c r="BU91" i="3"/>
  <c r="CL74" i="3" s="1"/>
  <c r="BV90" i="3"/>
  <c r="CK75" i="3" s="1"/>
  <c r="BU90" i="3"/>
  <c r="CK74" i="3" s="1"/>
  <c r="BV89" i="3"/>
  <c r="CJ75" i="3" s="1"/>
  <c r="BU89" i="3"/>
  <c r="CJ74" i="3" s="1"/>
  <c r="BQ105" i="3"/>
  <c r="CZ70" i="3" s="1"/>
  <c r="BQ104" i="3"/>
  <c r="CY70" i="3" s="1"/>
  <c r="BQ103" i="3"/>
  <c r="CX70" i="3" s="1"/>
  <c r="BQ102" i="3"/>
  <c r="CW70" i="3" s="1"/>
  <c r="BQ101" i="3"/>
  <c r="CV70" i="3" s="1"/>
  <c r="BQ100" i="3"/>
  <c r="CU70" i="3" s="1"/>
  <c r="BQ99" i="3"/>
  <c r="CT70" i="3" s="1"/>
  <c r="BQ98" i="3"/>
  <c r="CS70" i="3" s="1"/>
  <c r="BQ97" i="3"/>
  <c r="CR70" i="3" s="1"/>
  <c r="BQ96" i="3"/>
  <c r="CQ70" i="3" s="1"/>
  <c r="BQ95" i="3"/>
  <c r="CP70" i="3" s="1"/>
  <c r="BQ94" i="3"/>
  <c r="CO70" i="3" s="1"/>
  <c r="BQ93" i="3"/>
  <c r="CN70" i="3" s="1"/>
  <c r="BQ92" i="3"/>
  <c r="CM70" i="3" s="1"/>
  <c r="BQ91" i="3"/>
  <c r="CL70" i="3" s="1"/>
  <c r="BQ90" i="3"/>
  <c r="CK70" i="3" s="1"/>
  <c r="BQ89" i="3"/>
  <c r="CJ70" i="3" s="1"/>
  <c r="BR105" i="3"/>
  <c r="CZ71" i="3" s="1"/>
  <c r="BR104" i="3"/>
  <c r="CY71" i="3" s="1"/>
  <c r="BR103" i="3"/>
  <c r="CX71" i="3" s="1"/>
  <c r="BR102" i="3"/>
  <c r="CW71" i="3" s="1"/>
  <c r="BR101" i="3"/>
  <c r="CV71" i="3" s="1"/>
  <c r="BR100" i="3"/>
  <c r="CU71" i="3" s="1"/>
  <c r="BR99" i="3"/>
  <c r="CT71" i="3" s="1"/>
  <c r="BR98" i="3"/>
  <c r="CS71" i="3" s="1"/>
  <c r="BR97" i="3"/>
  <c r="CR71" i="3" s="1"/>
  <c r="BR96" i="3"/>
  <c r="CQ71" i="3" s="1"/>
  <c r="BR95" i="3"/>
  <c r="CP71" i="3" s="1"/>
  <c r="BR94" i="3"/>
  <c r="CO71" i="3" s="1"/>
  <c r="BR93" i="3"/>
  <c r="CN71" i="3" s="1"/>
  <c r="BR92" i="3"/>
  <c r="CM71" i="3" s="1"/>
  <c r="BR91" i="3"/>
  <c r="CL71" i="3" s="1"/>
  <c r="BR90" i="3"/>
  <c r="CK71" i="3" s="1"/>
  <c r="BR89" i="3"/>
  <c r="CJ71" i="3" s="1"/>
  <c r="BP105" i="3"/>
  <c r="CZ69" i="3" s="1"/>
  <c r="BP104" i="3"/>
  <c r="CY69" i="3" s="1"/>
  <c r="BP103" i="3"/>
  <c r="CX69" i="3" s="1"/>
  <c r="BP102" i="3"/>
  <c r="CW69" i="3" s="1"/>
  <c r="BP101" i="3"/>
  <c r="CV69" i="3" s="1"/>
  <c r="BP100" i="3"/>
  <c r="CU69" i="3" s="1"/>
  <c r="BP99" i="3"/>
  <c r="CT69" i="3" s="1"/>
  <c r="BP98" i="3"/>
  <c r="CS69" i="3" s="1"/>
  <c r="BP97" i="3"/>
  <c r="CR69" i="3" s="1"/>
  <c r="BP96" i="3"/>
  <c r="CQ69" i="3" s="1"/>
  <c r="BP95" i="3"/>
  <c r="CP69" i="3" s="1"/>
  <c r="BP94" i="3"/>
  <c r="CO69" i="3" s="1"/>
  <c r="BP93" i="3"/>
  <c r="CN69" i="3" s="1"/>
  <c r="BP92" i="3"/>
  <c r="CM69" i="3" s="1"/>
  <c r="BP91" i="3"/>
  <c r="CL69" i="3" s="1"/>
  <c r="BP90" i="3"/>
  <c r="CK69" i="3" s="1"/>
  <c r="BP89" i="3"/>
  <c r="CJ69" i="3" s="1"/>
  <c r="BO105" i="3"/>
  <c r="CZ68" i="3" s="1"/>
  <c r="BO104" i="3"/>
  <c r="CY68" i="3" s="1"/>
  <c r="BO103" i="3"/>
  <c r="CX68" i="3" s="1"/>
  <c r="BO102" i="3"/>
  <c r="CW68" i="3" s="1"/>
  <c r="BO101" i="3"/>
  <c r="CV68" i="3" s="1"/>
  <c r="BO100" i="3"/>
  <c r="CU68" i="3" s="1"/>
  <c r="BO99" i="3"/>
  <c r="CT68" i="3" s="1"/>
  <c r="BO98" i="3"/>
  <c r="CS68" i="3" s="1"/>
  <c r="BO97" i="3"/>
  <c r="CR68" i="3" s="1"/>
  <c r="BO96" i="3"/>
  <c r="CQ68" i="3" s="1"/>
  <c r="BO95" i="3"/>
  <c r="CP68" i="3" s="1"/>
  <c r="BO94" i="3"/>
  <c r="CO68" i="3" s="1"/>
  <c r="BO93" i="3"/>
  <c r="CN68" i="3" s="1"/>
  <c r="BO92" i="3"/>
  <c r="CM68" i="3" s="1"/>
  <c r="BO91" i="3"/>
  <c r="CL68" i="3" s="1"/>
  <c r="BO90" i="3"/>
  <c r="CK68" i="3" s="1"/>
  <c r="BO89" i="3"/>
  <c r="CJ68" i="3" s="1"/>
  <c r="BN105" i="3"/>
  <c r="CZ67" i="3" s="1"/>
  <c r="BN104" i="3"/>
  <c r="CY67" i="3" s="1"/>
  <c r="BN103" i="3"/>
  <c r="CX67" i="3" s="1"/>
  <c r="BN102" i="3"/>
  <c r="CW67" i="3" s="1"/>
  <c r="BN101" i="3"/>
  <c r="CV67" i="3" s="1"/>
  <c r="BN100" i="3"/>
  <c r="CU67" i="3" s="1"/>
  <c r="BN99" i="3"/>
  <c r="CT67" i="3" s="1"/>
  <c r="BN98" i="3"/>
  <c r="CS67" i="3" s="1"/>
  <c r="BN97" i="3"/>
  <c r="CR67" i="3" s="1"/>
  <c r="BN96" i="3"/>
  <c r="CQ67" i="3" s="1"/>
  <c r="BN95" i="3"/>
  <c r="CP67" i="3" s="1"/>
  <c r="BN94" i="3"/>
  <c r="CO67" i="3" s="1"/>
  <c r="BN93" i="3"/>
  <c r="CN67" i="3" s="1"/>
  <c r="BN92" i="3"/>
  <c r="CM67" i="3" s="1"/>
  <c r="BN91" i="3"/>
  <c r="CL67" i="3" s="1"/>
  <c r="BN90" i="3"/>
  <c r="CK67" i="3" s="1"/>
  <c r="BN89" i="3"/>
  <c r="CJ67" i="3" s="1"/>
  <c r="BM105" i="3"/>
  <c r="CZ66" i="3" s="1"/>
  <c r="BM104" i="3"/>
  <c r="CY66" i="3" s="1"/>
  <c r="BM103" i="3"/>
  <c r="CX66" i="3" s="1"/>
  <c r="BM102" i="3"/>
  <c r="CW66" i="3" s="1"/>
  <c r="BM101" i="3"/>
  <c r="CV66" i="3" s="1"/>
  <c r="BM100" i="3"/>
  <c r="CU66" i="3" s="1"/>
  <c r="BM99" i="3"/>
  <c r="CT66" i="3" s="1"/>
  <c r="BM98" i="3"/>
  <c r="CS66" i="3" s="1"/>
  <c r="BM97" i="3"/>
  <c r="CR66" i="3" s="1"/>
  <c r="BM96" i="3"/>
  <c r="CQ66" i="3" s="1"/>
  <c r="BM94" i="3"/>
  <c r="CO66" i="3" s="1"/>
  <c r="BM93" i="3"/>
  <c r="CN66" i="3" s="1"/>
  <c r="BM92" i="3"/>
  <c r="CM66" i="3" s="1"/>
  <c r="BM91" i="3"/>
  <c r="CL66" i="3" s="1"/>
  <c r="BM90" i="3"/>
  <c r="CK66" i="3" s="1"/>
  <c r="BM89" i="3"/>
  <c r="CJ66" i="3" s="1"/>
  <c r="BL105" i="3"/>
  <c r="CZ65" i="3" s="1"/>
  <c r="BL104" i="3"/>
  <c r="CY65" i="3" s="1"/>
  <c r="BL103" i="3"/>
  <c r="CX65" i="3" s="1"/>
  <c r="BL102" i="3"/>
  <c r="CW65" i="3" s="1"/>
  <c r="BL101" i="3"/>
  <c r="CV65" i="3" s="1"/>
  <c r="BL100" i="3"/>
  <c r="CU65" i="3" s="1"/>
  <c r="BL99" i="3"/>
  <c r="CT65" i="3" s="1"/>
  <c r="BL98" i="3"/>
  <c r="CS65" i="3" s="1"/>
  <c r="BL97" i="3"/>
  <c r="CR65" i="3" s="1"/>
  <c r="BL96" i="3"/>
  <c r="CQ65" i="3" s="1"/>
  <c r="BL95" i="3"/>
  <c r="CP65" i="3" s="1"/>
  <c r="BL94" i="3"/>
  <c r="CO65" i="3" s="1"/>
  <c r="BL93" i="3"/>
  <c r="CN65" i="3" s="1"/>
  <c r="BL92" i="3"/>
  <c r="CM65" i="3" s="1"/>
  <c r="BL91" i="3"/>
  <c r="CL65" i="3" s="1"/>
  <c r="BL90" i="3"/>
  <c r="CK65" i="3" s="1"/>
  <c r="BL89" i="3"/>
  <c r="CJ65" i="3" s="1"/>
  <c r="BK105" i="3"/>
  <c r="CZ64" i="3" s="1"/>
  <c r="BK104" i="3"/>
  <c r="CY64" i="3" s="1"/>
  <c r="BK103" i="3"/>
  <c r="CX64" i="3" s="1"/>
  <c r="BK102" i="3"/>
  <c r="CW64" i="3" s="1"/>
  <c r="BK101" i="3"/>
  <c r="CV64" i="3" s="1"/>
  <c r="BK100" i="3"/>
  <c r="CU64" i="3" s="1"/>
  <c r="BK99" i="3"/>
  <c r="CT64" i="3" s="1"/>
  <c r="BK98" i="3"/>
  <c r="CS64" i="3" s="1"/>
  <c r="BK97" i="3"/>
  <c r="CR64" i="3" s="1"/>
  <c r="BK96" i="3"/>
  <c r="CQ64" i="3" s="1"/>
  <c r="BK95" i="3"/>
  <c r="CP64" i="3" s="1"/>
  <c r="BK94" i="3"/>
  <c r="CO64" i="3" s="1"/>
  <c r="BK93" i="3"/>
  <c r="CN64" i="3" s="1"/>
  <c r="BK92" i="3"/>
  <c r="CM64" i="3" s="1"/>
  <c r="BK91" i="3"/>
  <c r="CL64" i="3" s="1"/>
  <c r="BK90" i="3"/>
  <c r="CK64" i="3" s="1"/>
  <c r="BK89" i="3"/>
  <c r="CJ64" i="3" s="1"/>
  <c r="BV61" i="3"/>
  <c r="BH75" i="3" s="1"/>
  <c r="BV60" i="3"/>
  <c r="BG75" i="3" s="1"/>
  <c r="BV58" i="3"/>
  <c r="BE75" i="3" s="1"/>
  <c r="BV57" i="3"/>
  <c r="BD75" i="3" s="1"/>
  <c r="BV56" i="3"/>
  <c r="BC75" i="3" s="1"/>
  <c r="BV55" i="3"/>
  <c r="BB75" i="3" s="1"/>
  <c r="BV54" i="3"/>
  <c r="BA75" i="3" s="1"/>
  <c r="BU61" i="3"/>
  <c r="BH74" i="3" s="1"/>
  <c r="BU60" i="3"/>
  <c r="BG74" i="3" s="1"/>
  <c r="BU58" i="3"/>
  <c r="BE74" i="3" s="1"/>
  <c r="BU57" i="3"/>
  <c r="BD74" i="3" s="1"/>
  <c r="BU56" i="3"/>
  <c r="BC74" i="3" s="1"/>
  <c r="BU55" i="3"/>
  <c r="BB74" i="3" s="1"/>
  <c r="BU54" i="3"/>
  <c r="BA74" i="3" s="1"/>
  <c r="BR61" i="3"/>
  <c r="BH71" i="3" s="1"/>
  <c r="BQ61" i="3"/>
  <c r="BH70" i="3" s="1"/>
  <c r="BP61" i="3"/>
  <c r="BH69" i="3" s="1"/>
  <c r="BO61" i="3"/>
  <c r="BH68" i="3" s="1"/>
  <c r="BN61" i="3"/>
  <c r="BH67" i="3" s="1"/>
  <c r="BM61" i="3"/>
  <c r="BH66" i="3" s="1"/>
  <c r="BL61" i="3"/>
  <c r="BH65" i="3" s="1"/>
  <c r="BK61" i="3"/>
  <c r="BH64" i="3" s="1"/>
  <c r="BR60" i="3"/>
  <c r="BG71" i="3" s="1"/>
  <c r="BQ60" i="3"/>
  <c r="BG70" i="3" s="1"/>
  <c r="BP60" i="3"/>
  <c r="BG69" i="3" s="1"/>
  <c r="BO60" i="3"/>
  <c r="BG68" i="3" s="1"/>
  <c r="BN60" i="3"/>
  <c r="BG67" i="3" s="1"/>
  <c r="BM60" i="3"/>
  <c r="BG66" i="3" s="1"/>
  <c r="BL60" i="3"/>
  <c r="BG65" i="3" s="1"/>
  <c r="BK60" i="3"/>
  <c r="BG64" i="3" s="1"/>
  <c r="BR58" i="3"/>
  <c r="BE71" i="3" s="1"/>
  <c r="BQ58" i="3"/>
  <c r="BE70" i="3" s="1"/>
  <c r="BP58" i="3"/>
  <c r="BE69" i="3" s="1"/>
  <c r="BO58" i="3"/>
  <c r="BE68" i="3" s="1"/>
  <c r="BN58" i="3"/>
  <c r="BE67" i="3" s="1"/>
  <c r="BM58" i="3"/>
  <c r="BE66" i="3" s="1"/>
  <c r="BL58" i="3"/>
  <c r="BE65" i="3" s="1"/>
  <c r="BK58" i="3"/>
  <c r="BE64" i="3" s="1"/>
  <c r="BR57" i="3"/>
  <c r="BD71" i="3" s="1"/>
  <c r="BQ57" i="3"/>
  <c r="BD70" i="3" s="1"/>
  <c r="BP57" i="3"/>
  <c r="BD69" i="3" s="1"/>
  <c r="BO57" i="3"/>
  <c r="BD68" i="3" s="1"/>
  <c r="BN57" i="3"/>
  <c r="BD67" i="3" s="1"/>
  <c r="BM57" i="3"/>
  <c r="BD66" i="3" s="1"/>
  <c r="BL57" i="3"/>
  <c r="BD65" i="3" s="1"/>
  <c r="BK57" i="3"/>
  <c r="BD64" i="3" s="1"/>
  <c r="BR56" i="3"/>
  <c r="BC71" i="3" s="1"/>
  <c r="BQ56" i="3"/>
  <c r="BC70" i="3" s="1"/>
  <c r="BP56" i="3"/>
  <c r="BC69" i="3" s="1"/>
  <c r="BO56" i="3"/>
  <c r="BC68" i="3" s="1"/>
  <c r="BN56" i="3"/>
  <c r="BC67" i="3" s="1"/>
  <c r="BM56" i="3"/>
  <c r="BC66" i="3" s="1"/>
  <c r="BL56" i="3"/>
  <c r="BC65" i="3" s="1"/>
  <c r="BK56" i="3"/>
  <c r="BC64" i="3" s="1"/>
  <c r="BR55" i="3"/>
  <c r="BB71" i="3" s="1"/>
  <c r="BQ55" i="3"/>
  <c r="BB70" i="3" s="1"/>
  <c r="BP55" i="3"/>
  <c r="BB69" i="3" s="1"/>
  <c r="BO55" i="3"/>
  <c r="BB68" i="3" s="1"/>
  <c r="BN55" i="3"/>
  <c r="BB67" i="3" s="1"/>
  <c r="BM55" i="3"/>
  <c r="BB66" i="3" s="1"/>
  <c r="BL55" i="3"/>
  <c r="BB65" i="3" s="1"/>
  <c r="BK55" i="3"/>
  <c r="BB64" i="3" s="1"/>
  <c r="BR54" i="3"/>
  <c r="BA71" i="3" s="1"/>
  <c r="BQ54" i="3"/>
  <c r="BA70" i="3" s="1"/>
  <c r="BP54" i="3"/>
  <c r="BA69" i="3" s="1"/>
  <c r="BO54" i="3"/>
  <c r="BA68" i="3" s="1"/>
  <c r="BN54" i="3"/>
  <c r="BA67" i="3" s="1"/>
  <c r="BM54" i="3"/>
  <c r="BA66" i="3" s="1"/>
  <c r="BL54" i="3"/>
  <c r="BA65" i="3" s="1"/>
  <c r="BK54" i="3"/>
  <c r="BA64" i="3" s="1"/>
  <c r="CZ61" i="3"/>
  <c r="BH105" i="3" s="1"/>
  <c r="CZ60" i="3"/>
  <c r="BG105" i="3" s="1"/>
  <c r="CZ58" i="3"/>
  <c r="BE105" i="3" s="1"/>
  <c r="CZ57" i="3"/>
  <c r="BD105" i="3" s="1"/>
  <c r="CZ56" i="3"/>
  <c r="BC105" i="3" s="1"/>
  <c r="CZ55" i="3"/>
  <c r="BB105" i="3" s="1"/>
  <c r="CZ54" i="3"/>
  <c r="BA105" i="3" s="1"/>
  <c r="CY61" i="3"/>
  <c r="BH104" i="3" s="1"/>
  <c r="CY60" i="3"/>
  <c r="BG104" i="3" s="1"/>
  <c r="CY58" i="3"/>
  <c r="BE104" i="3" s="1"/>
  <c r="CY57" i="3"/>
  <c r="BD104" i="3" s="1"/>
  <c r="CY56" i="3"/>
  <c r="BC104" i="3" s="1"/>
  <c r="CY55" i="3"/>
  <c r="BB104" i="3" s="1"/>
  <c r="CY54" i="3"/>
  <c r="BA104" i="3" s="1"/>
  <c r="CX61" i="3"/>
  <c r="BH103" i="3" s="1"/>
  <c r="CX60" i="3"/>
  <c r="BG103" i="3" s="1"/>
  <c r="CX58" i="3"/>
  <c r="BE103" i="3" s="1"/>
  <c r="CX57" i="3"/>
  <c r="BD103" i="3" s="1"/>
  <c r="CX56" i="3"/>
  <c r="BC103" i="3" s="1"/>
  <c r="CX55" i="3"/>
  <c r="BB103" i="3" s="1"/>
  <c r="CX54" i="3"/>
  <c r="BA103" i="3" s="1"/>
  <c r="CW61" i="3"/>
  <c r="BH102" i="3" s="1"/>
  <c r="CW60" i="3"/>
  <c r="BG102" i="3" s="1"/>
  <c r="CW58" i="3"/>
  <c r="BE102" i="3" s="1"/>
  <c r="CW57" i="3"/>
  <c r="BD102" i="3" s="1"/>
  <c r="CW56" i="3"/>
  <c r="BC102" i="3" s="1"/>
  <c r="CW55" i="3"/>
  <c r="BB102" i="3" s="1"/>
  <c r="CW54" i="3"/>
  <c r="BA102" i="3" s="1"/>
  <c r="CV61" i="3"/>
  <c r="BH101" i="3" s="1"/>
  <c r="CV60" i="3"/>
  <c r="BG101" i="3" s="1"/>
  <c r="CV58" i="3"/>
  <c r="BE101" i="3" s="1"/>
  <c r="CV57" i="3"/>
  <c r="BD101" i="3" s="1"/>
  <c r="CV56" i="3"/>
  <c r="BC101" i="3" s="1"/>
  <c r="CV55" i="3"/>
  <c r="BB101" i="3" s="1"/>
  <c r="CV54" i="3"/>
  <c r="BA101" i="3" s="1"/>
  <c r="CU61" i="3"/>
  <c r="BH100" i="3" s="1"/>
  <c r="CU60" i="3"/>
  <c r="BG100" i="3" s="1"/>
  <c r="CU58" i="3"/>
  <c r="BE100" i="3" s="1"/>
  <c r="CU57" i="3"/>
  <c r="BD100" i="3" s="1"/>
  <c r="CU56" i="3"/>
  <c r="BC100" i="3" s="1"/>
  <c r="CU55" i="3"/>
  <c r="BB100" i="3" s="1"/>
  <c r="CU54" i="3"/>
  <c r="BA100" i="3" s="1"/>
  <c r="CT61" i="3"/>
  <c r="BH99" i="3" s="1"/>
  <c r="CT60" i="3"/>
  <c r="BG99" i="3" s="1"/>
  <c r="CT58" i="3"/>
  <c r="BE99" i="3" s="1"/>
  <c r="CT57" i="3"/>
  <c r="BD99" i="3" s="1"/>
  <c r="CT56" i="3"/>
  <c r="BC99" i="3" s="1"/>
  <c r="CT55" i="3"/>
  <c r="BB99" i="3" s="1"/>
  <c r="CT54" i="3"/>
  <c r="BA99" i="3" s="1"/>
  <c r="CS61" i="3"/>
  <c r="BH98" i="3" s="1"/>
  <c r="CS60" i="3"/>
  <c r="BG98" i="3" s="1"/>
  <c r="CS58" i="3"/>
  <c r="BE98" i="3" s="1"/>
  <c r="CS57" i="3"/>
  <c r="BD98" i="3" s="1"/>
  <c r="CS56" i="3"/>
  <c r="BC98" i="3" s="1"/>
  <c r="CS55" i="3"/>
  <c r="BB98" i="3" s="1"/>
  <c r="CS54" i="3"/>
  <c r="BA98" i="3" s="1"/>
  <c r="CR61" i="3"/>
  <c r="BH97" i="3" s="1"/>
  <c r="CQ61" i="3"/>
  <c r="BH96" i="3" s="1"/>
  <c r="CP61" i="3"/>
  <c r="BH95" i="3" s="1"/>
  <c r="CO61" i="3"/>
  <c r="BH94" i="3" s="1"/>
  <c r="CN61" i="3"/>
  <c r="BH93" i="3" s="1"/>
  <c r="CM61" i="3"/>
  <c r="BH92" i="3" s="1"/>
  <c r="CL61" i="3"/>
  <c r="BH91" i="3" s="1"/>
  <c r="CK61" i="3"/>
  <c r="BH90" i="3" s="1"/>
  <c r="CJ61" i="3"/>
  <c r="BH89" i="3" s="1"/>
  <c r="CR60" i="3"/>
  <c r="BG97" i="3" s="1"/>
  <c r="CQ60" i="3"/>
  <c r="BG96" i="3" s="1"/>
  <c r="CP60" i="3"/>
  <c r="BG95" i="3" s="1"/>
  <c r="CO60" i="3"/>
  <c r="BG94" i="3" s="1"/>
  <c r="CN60" i="3"/>
  <c r="BG93" i="3" s="1"/>
  <c r="CM60" i="3"/>
  <c r="BG92" i="3" s="1"/>
  <c r="CL60" i="3"/>
  <c r="BG91" i="3" s="1"/>
  <c r="CK60" i="3"/>
  <c r="BG90" i="3" s="1"/>
  <c r="CR58" i="3"/>
  <c r="BE97" i="3" s="1"/>
  <c r="CQ58" i="3"/>
  <c r="BE96" i="3" s="1"/>
  <c r="CP58" i="3"/>
  <c r="BE95" i="3" s="1"/>
  <c r="CO58" i="3"/>
  <c r="BE94" i="3" s="1"/>
  <c r="CN58" i="3"/>
  <c r="BE93" i="3" s="1"/>
  <c r="CM58" i="3"/>
  <c r="BE92" i="3" s="1"/>
  <c r="CL58" i="3"/>
  <c r="BE91" i="3" s="1"/>
  <c r="CK58" i="3"/>
  <c r="BE90" i="3" s="1"/>
  <c r="CJ58" i="3"/>
  <c r="BE89" i="3" s="1"/>
  <c r="CR57" i="3"/>
  <c r="BD97" i="3" s="1"/>
  <c r="CQ57" i="3"/>
  <c r="BD96" i="3" s="1"/>
  <c r="CP57" i="3"/>
  <c r="BD95" i="3" s="1"/>
  <c r="CO57" i="3"/>
  <c r="CN57" i="3"/>
  <c r="BD93" i="3" s="1"/>
  <c r="CM57" i="3"/>
  <c r="BD92" i="3" s="1"/>
  <c r="CL57" i="3"/>
  <c r="CK57" i="3"/>
  <c r="CJ57" i="3"/>
  <c r="BD89" i="3" s="1"/>
  <c r="CR56" i="3"/>
  <c r="BC97" i="3" s="1"/>
  <c r="CQ56" i="3"/>
  <c r="CP56" i="3"/>
  <c r="BC95" i="3" s="1"/>
  <c r="CO56" i="3"/>
  <c r="BC94" i="3" s="1"/>
  <c r="CN56" i="3"/>
  <c r="BC93" i="3" s="1"/>
  <c r="CM56" i="3"/>
  <c r="BC92" i="3" s="1"/>
  <c r="CL56" i="3"/>
  <c r="BC91" i="3" s="1"/>
  <c r="CK56" i="3"/>
  <c r="BC90" i="3" s="1"/>
  <c r="CJ56" i="3"/>
  <c r="BC89" i="3" s="1"/>
  <c r="CR55" i="3"/>
  <c r="BB97" i="3" s="1"/>
  <c r="CQ55" i="3"/>
  <c r="BB96" i="3" s="1"/>
  <c r="CP55" i="3"/>
  <c r="BB95" i="3" s="1"/>
  <c r="CO55" i="3"/>
  <c r="BB94" i="3" s="1"/>
  <c r="CN55" i="3"/>
  <c r="BB93" i="3" s="1"/>
  <c r="CM55" i="3"/>
  <c r="BB92" i="3" s="1"/>
  <c r="CL55" i="3"/>
  <c r="BB91" i="3" s="1"/>
  <c r="CK55" i="3"/>
  <c r="BB90" i="3" s="1"/>
  <c r="CJ55" i="3"/>
  <c r="BB89" i="3" s="1"/>
  <c r="CR54" i="3"/>
  <c r="BA97" i="3" s="1"/>
  <c r="CQ54" i="3"/>
  <c r="BA96" i="3" s="1"/>
  <c r="CP54" i="3"/>
  <c r="BA95" i="3" s="1"/>
  <c r="CO54" i="3"/>
  <c r="BA94" i="3" s="1"/>
  <c r="CN54" i="3"/>
  <c r="BA93" i="3" s="1"/>
  <c r="CM54" i="3"/>
  <c r="BA92" i="3" s="1"/>
  <c r="CL54" i="3"/>
  <c r="BA91" i="3" s="1"/>
  <c r="CK54" i="3"/>
  <c r="BA90" i="3" s="1"/>
  <c r="CJ54" i="3"/>
  <c r="BA89" i="3" s="1"/>
  <c r="CG52" i="3"/>
  <c r="AY86" i="3" s="1"/>
  <c r="CF52" i="3"/>
  <c r="AY85" i="3" s="1"/>
  <c r="CE52" i="3"/>
  <c r="AY84" i="3" s="1"/>
  <c r="CD52" i="3"/>
  <c r="AY83" i="3" s="1"/>
  <c r="CC52" i="3"/>
  <c r="AY82" i="3" s="1"/>
  <c r="CB52" i="3"/>
  <c r="AY81" i="3" s="1"/>
  <c r="CA52" i="3"/>
  <c r="AY80" i="3" s="1"/>
  <c r="BZ52" i="3"/>
  <c r="AY79" i="3" s="1"/>
  <c r="BY52" i="3"/>
  <c r="AY78" i="3" s="1"/>
  <c r="BV52" i="3"/>
  <c r="AY75" i="3" s="1"/>
  <c r="BU52" i="3"/>
  <c r="AY74" i="3" s="1"/>
  <c r="BR52" i="3"/>
  <c r="AY71" i="3" s="1"/>
  <c r="BQ52" i="3"/>
  <c r="AY70" i="3" s="1"/>
  <c r="BP52" i="3"/>
  <c r="AY69" i="3" s="1"/>
  <c r="BO52" i="3"/>
  <c r="AY68" i="3" s="1"/>
  <c r="BN52" i="3"/>
  <c r="AY67" i="3" s="1"/>
  <c r="BM52" i="3"/>
  <c r="AY66" i="3" s="1"/>
  <c r="BL52" i="3"/>
  <c r="AY65" i="3" s="1"/>
  <c r="BK52" i="3"/>
  <c r="AY64" i="3" s="1"/>
  <c r="CZ52" i="3"/>
  <c r="AY105" i="3" s="1"/>
  <c r="CY52" i="3"/>
  <c r="AY104" i="3" s="1"/>
  <c r="CX52" i="3"/>
  <c r="AY103" i="3" s="1"/>
  <c r="CW52" i="3"/>
  <c r="AY102" i="3" s="1"/>
  <c r="CV52" i="3"/>
  <c r="AY101" i="3" s="1"/>
  <c r="CU52" i="3"/>
  <c r="AY100" i="3" s="1"/>
  <c r="CT52" i="3"/>
  <c r="AY99" i="3" s="1"/>
  <c r="CS52" i="3"/>
  <c r="AY98" i="3" s="1"/>
  <c r="CR52" i="3"/>
  <c r="AY97" i="3" s="1"/>
  <c r="CQ52" i="3"/>
  <c r="AY96" i="3" s="1"/>
  <c r="CP52" i="3"/>
  <c r="AY95" i="3" s="1"/>
  <c r="CO52" i="3"/>
  <c r="AY94" i="3" s="1"/>
  <c r="CN52" i="3"/>
  <c r="AY93" i="3" s="1"/>
  <c r="CM52" i="3"/>
  <c r="AY92" i="3" s="1"/>
  <c r="CL52" i="3"/>
  <c r="AY91" i="3" s="1"/>
  <c r="CK52" i="3"/>
  <c r="AY90" i="3" s="1"/>
  <c r="CJ52" i="3"/>
  <c r="AY89" i="3" s="1"/>
  <c r="BH52" i="3"/>
  <c r="AY61" i="3" s="1"/>
  <c r="BG52" i="3"/>
  <c r="AY60" i="3" s="1"/>
  <c r="BF52" i="3"/>
  <c r="AY59" i="3" s="1"/>
  <c r="BE52" i="3"/>
  <c r="AY58" i="3" s="1"/>
  <c r="BD52" i="3"/>
  <c r="AY57" i="3" s="1"/>
  <c r="BC52" i="3"/>
  <c r="AY56" i="3" s="1"/>
  <c r="BB52" i="3"/>
  <c r="AY55" i="3" s="1"/>
  <c r="BA52" i="3"/>
  <c r="AY54" i="3" s="1"/>
  <c r="CG48" i="3"/>
  <c r="CF48" i="3"/>
  <c r="CE48" i="3"/>
  <c r="AU84" i="3" s="1"/>
  <c r="CD48" i="3"/>
  <c r="AU83" i="3" s="1"/>
  <c r="CC48" i="3"/>
  <c r="AU82" i="3" s="1"/>
  <c r="CB48" i="3"/>
  <c r="AU81" i="3" s="1"/>
  <c r="CA48" i="3"/>
  <c r="AU80" i="3" s="1"/>
  <c r="BZ48" i="3"/>
  <c r="AU79" i="3" s="1"/>
  <c r="BY48" i="3"/>
  <c r="AU78" i="3" s="1"/>
  <c r="CG49" i="3"/>
  <c r="AV86" i="3" s="1"/>
  <c r="CF49" i="3"/>
  <c r="AV85" i="3" s="1"/>
  <c r="CE49" i="3"/>
  <c r="AV84" i="3" s="1"/>
  <c r="CD49" i="3"/>
  <c r="AV83" i="3" s="1"/>
  <c r="CC49" i="3"/>
  <c r="AV82" i="3" s="1"/>
  <c r="CB49" i="3"/>
  <c r="AV81" i="3" s="1"/>
  <c r="CA49" i="3"/>
  <c r="AV80" i="3" s="1"/>
  <c r="BZ49" i="3"/>
  <c r="AV79" i="3" s="1"/>
  <c r="BY49" i="3"/>
  <c r="AV78" i="3" s="1"/>
  <c r="BV49" i="3"/>
  <c r="AV75" i="3" s="1"/>
  <c r="BV48" i="3"/>
  <c r="AU75" i="3" s="1"/>
  <c r="BV47" i="3"/>
  <c r="AT75" i="3" s="1"/>
  <c r="BV46" i="3"/>
  <c r="AS75" i="3" s="1"/>
  <c r="BV45" i="3"/>
  <c r="AR75" i="3" s="1"/>
  <c r="BV44" i="3"/>
  <c r="AQ75" i="3" s="1"/>
  <c r="BV43" i="3"/>
  <c r="AP75" i="3" s="1"/>
  <c r="BV42" i="3"/>
  <c r="AO75" i="3" s="1"/>
  <c r="BV41" i="3"/>
  <c r="AN75" i="3" s="1"/>
  <c r="BV40" i="3"/>
  <c r="AM75" i="3" s="1"/>
  <c r="BV39" i="3"/>
  <c r="AL75" i="3" s="1"/>
  <c r="BV38" i="3"/>
  <c r="AK75" i="3" s="1"/>
  <c r="BV37" i="3"/>
  <c r="AJ75" i="3" s="1"/>
  <c r="BU49" i="3"/>
  <c r="AV74" i="3" s="1"/>
  <c r="BU48" i="3"/>
  <c r="AU74" i="3" s="1"/>
  <c r="BU47" i="3"/>
  <c r="AT74" i="3" s="1"/>
  <c r="BU46" i="3"/>
  <c r="AS74" i="3" s="1"/>
  <c r="BU45" i="3"/>
  <c r="AR74" i="3" s="1"/>
  <c r="BU44" i="3"/>
  <c r="AQ74" i="3" s="1"/>
  <c r="BU43" i="3"/>
  <c r="AP74" i="3" s="1"/>
  <c r="BU42" i="3"/>
  <c r="AO74" i="3" s="1"/>
  <c r="BU41" i="3"/>
  <c r="AN74" i="3" s="1"/>
  <c r="BU40" i="3"/>
  <c r="AM74" i="3" s="1"/>
  <c r="BU39" i="3"/>
  <c r="AL74" i="3" s="1"/>
  <c r="BU38" i="3"/>
  <c r="AK74" i="3" s="1"/>
  <c r="BU37" i="3"/>
  <c r="AJ74" i="3" s="1"/>
  <c r="BR49" i="3"/>
  <c r="AV71" i="3" s="1"/>
  <c r="BQ49" i="3"/>
  <c r="AV70" i="3" s="1"/>
  <c r="BP49" i="3"/>
  <c r="AV69" i="3" s="1"/>
  <c r="BO49" i="3"/>
  <c r="AV68" i="3" s="1"/>
  <c r="BN49" i="3"/>
  <c r="AV67" i="3" s="1"/>
  <c r="BM49" i="3"/>
  <c r="AV66" i="3" s="1"/>
  <c r="BL49" i="3"/>
  <c r="AV65" i="3" s="1"/>
  <c r="BK49" i="3"/>
  <c r="AV64" i="3" s="1"/>
  <c r="BR48" i="3"/>
  <c r="AU71" i="3" s="1"/>
  <c r="BQ48" i="3"/>
  <c r="AU70" i="3" s="1"/>
  <c r="BP48" i="3"/>
  <c r="AU69" i="3" s="1"/>
  <c r="BO48" i="3"/>
  <c r="AU68" i="3" s="1"/>
  <c r="BN48" i="3"/>
  <c r="AU67" i="3" s="1"/>
  <c r="BM48" i="3"/>
  <c r="AU66" i="3" s="1"/>
  <c r="BL48" i="3"/>
  <c r="AU65" i="3" s="1"/>
  <c r="BK48" i="3"/>
  <c r="AU64" i="3" s="1"/>
  <c r="BR47" i="3"/>
  <c r="AT71" i="3" s="1"/>
  <c r="BQ47" i="3"/>
  <c r="AT70" i="3" s="1"/>
  <c r="BP47" i="3"/>
  <c r="AT69" i="3" s="1"/>
  <c r="BO47" i="3"/>
  <c r="AT68" i="3" s="1"/>
  <c r="BN47" i="3"/>
  <c r="AT67" i="3" s="1"/>
  <c r="BM47" i="3"/>
  <c r="AT66" i="3" s="1"/>
  <c r="BL47" i="3"/>
  <c r="AT65" i="3" s="1"/>
  <c r="BK47" i="3"/>
  <c r="AT64" i="3" s="1"/>
  <c r="BR46" i="3"/>
  <c r="AS71" i="3" s="1"/>
  <c r="BQ46" i="3"/>
  <c r="AS70" i="3" s="1"/>
  <c r="BP46" i="3"/>
  <c r="AS69" i="3" s="1"/>
  <c r="BO46" i="3"/>
  <c r="AS68" i="3" s="1"/>
  <c r="BN46" i="3"/>
  <c r="AS67" i="3" s="1"/>
  <c r="BM46" i="3"/>
  <c r="AS66" i="3" s="1"/>
  <c r="BL46" i="3"/>
  <c r="AS65" i="3" s="1"/>
  <c r="BK46" i="3"/>
  <c r="AS64" i="3" s="1"/>
  <c r="BR45" i="3"/>
  <c r="BQ45" i="3"/>
  <c r="AR70" i="3" s="1"/>
  <c r="BP45" i="3"/>
  <c r="AR69" i="3" s="1"/>
  <c r="BO45" i="3"/>
  <c r="AR68" i="3" s="1"/>
  <c r="BN45" i="3"/>
  <c r="AR67" i="3" s="1"/>
  <c r="BM45" i="3"/>
  <c r="AR66" i="3" s="1"/>
  <c r="BL45" i="3"/>
  <c r="AR65" i="3" s="1"/>
  <c r="BK45" i="3"/>
  <c r="AR64" i="3" s="1"/>
  <c r="BR44" i="3"/>
  <c r="AQ71" i="3" s="1"/>
  <c r="BQ44" i="3"/>
  <c r="AQ70" i="3" s="1"/>
  <c r="BP44" i="3"/>
  <c r="AQ69" i="3" s="1"/>
  <c r="BO44" i="3"/>
  <c r="AQ68" i="3" s="1"/>
  <c r="BN44" i="3"/>
  <c r="AQ67" i="3" s="1"/>
  <c r="BM44" i="3"/>
  <c r="AQ66" i="3" s="1"/>
  <c r="BL44" i="3"/>
  <c r="AQ65" i="3" s="1"/>
  <c r="BK44" i="3"/>
  <c r="AQ64" i="3" s="1"/>
  <c r="BR43" i="3"/>
  <c r="AP71" i="3" s="1"/>
  <c r="BQ43" i="3"/>
  <c r="AP70" i="3" s="1"/>
  <c r="BP43" i="3"/>
  <c r="AP69" i="3" s="1"/>
  <c r="BO43" i="3"/>
  <c r="AP68" i="3" s="1"/>
  <c r="BN43" i="3"/>
  <c r="AP67" i="3" s="1"/>
  <c r="BM43" i="3"/>
  <c r="AP66" i="3" s="1"/>
  <c r="BL43" i="3"/>
  <c r="AP65" i="3" s="1"/>
  <c r="BK43" i="3"/>
  <c r="AP64" i="3" s="1"/>
  <c r="BR42" i="3"/>
  <c r="AO71" i="3" s="1"/>
  <c r="BQ42" i="3"/>
  <c r="AO70" i="3" s="1"/>
  <c r="BP42" i="3"/>
  <c r="AO69" i="3" s="1"/>
  <c r="BO42" i="3"/>
  <c r="AO68" i="3" s="1"/>
  <c r="BN42" i="3"/>
  <c r="AO67" i="3" s="1"/>
  <c r="BM42" i="3"/>
  <c r="AO66" i="3" s="1"/>
  <c r="BL42" i="3"/>
  <c r="AO65" i="3" s="1"/>
  <c r="BK42" i="3"/>
  <c r="AO64" i="3" s="1"/>
  <c r="BR41" i="3"/>
  <c r="AN71" i="3" s="1"/>
  <c r="BQ41" i="3"/>
  <c r="AN70" i="3" s="1"/>
  <c r="BP41" i="3"/>
  <c r="AN69" i="3" s="1"/>
  <c r="BO41" i="3"/>
  <c r="AN68" i="3" s="1"/>
  <c r="BN41" i="3"/>
  <c r="AN67" i="3" s="1"/>
  <c r="BM41" i="3"/>
  <c r="AN66" i="3" s="1"/>
  <c r="BL41" i="3"/>
  <c r="AN65" i="3" s="1"/>
  <c r="BK41" i="3"/>
  <c r="AN64" i="3" s="1"/>
  <c r="BR40" i="3"/>
  <c r="AM71" i="3" s="1"/>
  <c r="BQ40" i="3"/>
  <c r="AM70" i="3" s="1"/>
  <c r="BP40" i="3"/>
  <c r="AM69" i="3" s="1"/>
  <c r="BO40" i="3"/>
  <c r="AM68" i="3" s="1"/>
  <c r="BN40" i="3"/>
  <c r="AM67" i="3" s="1"/>
  <c r="BM40" i="3"/>
  <c r="AM66" i="3" s="1"/>
  <c r="BL40" i="3"/>
  <c r="AM65" i="3" s="1"/>
  <c r="BR39" i="3"/>
  <c r="AL71" i="3" s="1"/>
  <c r="BQ39" i="3"/>
  <c r="AL70" i="3" s="1"/>
  <c r="BP39" i="3"/>
  <c r="AL69" i="3" s="1"/>
  <c r="BO39" i="3"/>
  <c r="AL68" i="3" s="1"/>
  <c r="BN39" i="3"/>
  <c r="AL67" i="3" s="1"/>
  <c r="BM39" i="3"/>
  <c r="AL66" i="3" s="1"/>
  <c r="BL39" i="3"/>
  <c r="AL65" i="3" s="1"/>
  <c r="BK39" i="3"/>
  <c r="AL64" i="3" s="1"/>
  <c r="BR38" i="3"/>
  <c r="AK71" i="3" s="1"/>
  <c r="BQ38" i="3"/>
  <c r="AK70" i="3" s="1"/>
  <c r="BO38" i="3"/>
  <c r="AK68" i="3" s="1"/>
  <c r="BN38" i="3"/>
  <c r="AK67" i="3" s="1"/>
  <c r="BM38" i="3"/>
  <c r="AK66" i="3" s="1"/>
  <c r="BL38" i="3"/>
  <c r="AK65" i="3" s="1"/>
  <c r="BK38" i="3"/>
  <c r="AK64" i="3" s="1"/>
  <c r="BR37" i="3"/>
  <c r="AJ71" i="3" s="1"/>
  <c r="BQ37" i="3"/>
  <c r="AJ70" i="3" s="1"/>
  <c r="BP37" i="3"/>
  <c r="AJ69" i="3" s="1"/>
  <c r="BO37" i="3"/>
  <c r="AJ68" i="3" s="1"/>
  <c r="BN37" i="3"/>
  <c r="AJ67" i="3" s="1"/>
  <c r="BM37" i="3"/>
  <c r="AJ66" i="3" s="1"/>
  <c r="BL37" i="3"/>
  <c r="AJ65" i="3" s="1"/>
  <c r="BK37" i="3"/>
  <c r="AJ64" i="3" s="1"/>
  <c r="CL42" i="3"/>
  <c r="AO91" i="3" s="1"/>
  <c r="CZ49" i="3"/>
  <c r="AV105" i="3" s="1"/>
  <c r="CZ48" i="3"/>
  <c r="AU105" i="3" s="1"/>
  <c r="CZ47" i="3"/>
  <c r="AT105" i="3" s="1"/>
  <c r="CZ46" i="3"/>
  <c r="AS105" i="3" s="1"/>
  <c r="CZ45" i="3"/>
  <c r="AR105" i="3" s="1"/>
  <c r="CZ44" i="3"/>
  <c r="AQ105" i="3" s="1"/>
  <c r="CZ43" i="3"/>
  <c r="AP105" i="3" s="1"/>
  <c r="CZ42" i="3"/>
  <c r="CZ41" i="3"/>
  <c r="AN105" i="3" s="1"/>
  <c r="CZ40" i="3"/>
  <c r="CZ39" i="3"/>
  <c r="AL105" i="3" s="1"/>
  <c r="CZ38" i="3"/>
  <c r="AK105" i="3" s="1"/>
  <c r="CZ37" i="3"/>
  <c r="AJ105" i="3" s="1"/>
  <c r="CY49" i="3"/>
  <c r="AV104" i="3" s="1"/>
  <c r="CY48" i="3"/>
  <c r="AU104" i="3" s="1"/>
  <c r="CY47" i="3"/>
  <c r="AT104" i="3" s="1"/>
  <c r="CY46" i="3"/>
  <c r="AS104" i="3" s="1"/>
  <c r="CY45" i="3"/>
  <c r="AR104" i="3" s="1"/>
  <c r="CY44" i="3"/>
  <c r="AQ104" i="3" s="1"/>
  <c r="CY43" i="3"/>
  <c r="AP104" i="3" s="1"/>
  <c r="CY42" i="3"/>
  <c r="AO104" i="3" s="1"/>
  <c r="CY41" i="3"/>
  <c r="AN104" i="3" s="1"/>
  <c r="CY40" i="3"/>
  <c r="AM104" i="3" s="1"/>
  <c r="CY39" i="3"/>
  <c r="AL104" i="3" s="1"/>
  <c r="CY38" i="3"/>
  <c r="AK104" i="3" s="1"/>
  <c r="CY37" i="3"/>
  <c r="AJ104" i="3" s="1"/>
  <c r="CX49" i="3"/>
  <c r="AV103" i="3" s="1"/>
  <c r="CX48" i="3"/>
  <c r="AU103" i="3" s="1"/>
  <c r="CX47" i="3"/>
  <c r="AT103" i="3" s="1"/>
  <c r="CX46" i="3"/>
  <c r="AS103" i="3" s="1"/>
  <c r="CX45" i="3"/>
  <c r="AR103" i="3" s="1"/>
  <c r="CX44" i="3"/>
  <c r="AQ103" i="3" s="1"/>
  <c r="CX43" i="3"/>
  <c r="AP103" i="3" s="1"/>
  <c r="CX42" i="3"/>
  <c r="AO103" i="3" s="1"/>
  <c r="CX41" i="3"/>
  <c r="AN103" i="3" s="1"/>
  <c r="CX40" i="3"/>
  <c r="AM103" i="3" s="1"/>
  <c r="CX39" i="3"/>
  <c r="AL103" i="3" s="1"/>
  <c r="CX38" i="3"/>
  <c r="AK103" i="3" s="1"/>
  <c r="CX37" i="3"/>
  <c r="AJ103" i="3" s="1"/>
  <c r="CW49" i="3"/>
  <c r="AV102" i="3" s="1"/>
  <c r="CW48" i="3"/>
  <c r="AU102" i="3" s="1"/>
  <c r="CW47" i="3"/>
  <c r="AT102" i="3" s="1"/>
  <c r="CW46" i="3"/>
  <c r="AS102" i="3" s="1"/>
  <c r="CW45" i="3"/>
  <c r="AR102" i="3" s="1"/>
  <c r="CW44" i="3"/>
  <c r="AQ102" i="3" s="1"/>
  <c r="CW43" i="3"/>
  <c r="AP102" i="3" s="1"/>
  <c r="CW42" i="3"/>
  <c r="AO102" i="3" s="1"/>
  <c r="CW41" i="3"/>
  <c r="AN102" i="3" s="1"/>
  <c r="CW40" i="3"/>
  <c r="AM102" i="3" s="1"/>
  <c r="CW39" i="3"/>
  <c r="AL102" i="3" s="1"/>
  <c r="CW38" i="3"/>
  <c r="AK102" i="3" s="1"/>
  <c r="CW37" i="3"/>
  <c r="AJ102" i="3" s="1"/>
  <c r="CV49" i="3"/>
  <c r="AV101" i="3" s="1"/>
  <c r="CV48" i="3"/>
  <c r="AU101" i="3" s="1"/>
  <c r="CV47" i="3"/>
  <c r="AT101" i="3" s="1"/>
  <c r="CV46" i="3"/>
  <c r="AS101" i="3" s="1"/>
  <c r="CV45" i="3"/>
  <c r="AR101" i="3" s="1"/>
  <c r="CV44" i="3"/>
  <c r="AQ101" i="3" s="1"/>
  <c r="CV43" i="3"/>
  <c r="AP101" i="3" s="1"/>
  <c r="CV42" i="3"/>
  <c r="AO101" i="3" s="1"/>
  <c r="CV41" i="3"/>
  <c r="AN101" i="3" s="1"/>
  <c r="CV40" i="3"/>
  <c r="AM101" i="3" s="1"/>
  <c r="CV39" i="3"/>
  <c r="AL101" i="3" s="1"/>
  <c r="CV38" i="3"/>
  <c r="AK101" i="3" s="1"/>
  <c r="CV37" i="3"/>
  <c r="AJ101" i="3" s="1"/>
  <c r="CU49" i="3"/>
  <c r="AV100" i="3" s="1"/>
  <c r="CU48" i="3"/>
  <c r="AU100" i="3" s="1"/>
  <c r="CU47" i="3"/>
  <c r="AT100" i="3" s="1"/>
  <c r="CU46" i="3"/>
  <c r="AS100" i="3" s="1"/>
  <c r="CU45" i="3"/>
  <c r="AR100" i="3" s="1"/>
  <c r="CU44" i="3"/>
  <c r="AQ100" i="3" s="1"/>
  <c r="CU43" i="3"/>
  <c r="AP100" i="3" s="1"/>
  <c r="CU42" i="3"/>
  <c r="AO100" i="3" s="1"/>
  <c r="CU41" i="3"/>
  <c r="AN100" i="3" s="1"/>
  <c r="CU40" i="3"/>
  <c r="AM100" i="3" s="1"/>
  <c r="CU39" i="3"/>
  <c r="AL100" i="3" s="1"/>
  <c r="CU38" i="3"/>
  <c r="AK100" i="3" s="1"/>
  <c r="CU37" i="3"/>
  <c r="AJ100" i="3" s="1"/>
  <c r="CT49" i="3"/>
  <c r="AV99" i="3" s="1"/>
  <c r="CT48" i="3"/>
  <c r="AU99" i="3" s="1"/>
  <c r="CT47" i="3"/>
  <c r="AT99" i="3" s="1"/>
  <c r="CT46" i="3"/>
  <c r="AS99" i="3" s="1"/>
  <c r="CT45" i="3"/>
  <c r="AR99" i="3" s="1"/>
  <c r="CT44" i="3"/>
  <c r="AQ99" i="3" s="1"/>
  <c r="CT43" i="3"/>
  <c r="AP99" i="3" s="1"/>
  <c r="CT42" i="3"/>
  <c r="AO99" i="3" s="1"/>
  <c r="CT41" i="3"/>
  <c r="AN99" i="3" s="1"/>
  <c r="CT40" i="3"/>
  <c r="AM99" i="3" s="1"/>
  <c r="CT39" i="3"/>
  <c r="AL99" i="3" s="1"/>
  <c r="CT38" i="3"/>
  <c r="AK99" i="3" s="1"/>
  <c r="CT37" i="3"/>
  <c r="AJ99" i="3" s="1"/>
  <c r="CS49" i="3"/>
  <c r="AV98" i="3" s="1"/>
  <c r="CS48" i="3"/>
  <c r="AU98" i="3" s="1"/>
  <c r="CS47" i="3"/>
  <c r="AT98" i="3" s="1"/>
  <c r="CS45" i="3"/>
  <c r="AR98" i="3" s="1"/>
  <c r="CS44" i="3"/>
  <c r="AQ98" i="3" s="1"/>
  <c r="CS43" i="3"/>
  <c r="AP98" i="3" s="1"/>
  <c r="CS42" i="3"/>
  <c r="AO98" i="3" s="1"/>
  <c r="CS41" i="3"/>
  <c r="AN98" i="3" s="1"/>
  <c r="CS40" i="3"/>
  <c r="AM98" i="3" s="1"/>
  <c r="CS39" i="3"/>
  <c r="AL98" i="3" s="1"/>
  <c r="CS38" i="3"/>
  <c r="AK98" i="3" s="1"/>
  <c r="CS37" i="3"/>
  <c r="AJ98" i="3" s="1"/>
  <c r="CR49" i="3"/>
  <c r="AV97" i="3" s="1"/>
  <c r="CR48" i="3"/>
  <c r="AU97" i="3" s="1"/>
  <c r="CR47" i="3"/>
  <c r="AT97" i="3" s="1"/>
  <c r="CR46" i="3"/>
  <c r="AS97" i="3" s="1"/>
  <c r="CR45" i="3"/>
  <c r="AR97" i="3" s="1"/>
  <c r="CR44" i="3"/>
  <c r="AQ97" i="3" s="1"/>
  <c r="CR43" i="3"/>
  <c r="AP97" i="3" s="1"/>
  <c r="CR42" i="3"/>
  <c r="AO97" i="3" s="1"/>
  <c r="CR41" i="3"/>
  <c r="AN97" i="3" s="1"/>
  <c r="CR40" i="3"/>
  <c r="AM97" i="3" s="1"/>
  <c r="CR39" i="3"/>
  <c r="AL97" i="3" s="1"/>
  <c r="CR38" i="3"/>
  <c r="AK97" i="3" s="1"/>
  <c r="CR37" i="3"/>
  <c r="AJ97" i="3" s="1"/>
  <c r="CQ49" i="3"/>
  <c r="AV96" i="3" s="1"/>
  <c r="CQ48" i="3"/>
  <c r="AU96" i="3" s="1"/>
  <c r="CQ47" i="3"/>
  <c r="AT96" i="3" s="1"/>
  <c r="CQ46" i="3"/>
  <c r="AS96" i="3" s="1"/>
  <c r="CQ45" i="3"/>
  <c r="AR96" i="3" s="1"/>
  <c r="CQ44" i="3"/>
  <c r="AQ96" i="3" s="1"/>
  <c r="CQ43" i="3"/>
  <c r="AP96" i="3" s="1"/>
  <c r="CQ42" i="3"/>
  <c r="AO96" i="3" s="1"/>
  <c r="CQ41" i="3"/>
  <c r="AN96" i="3" s="1"/>
  <c r="CQ40" i="3"/>
  <c r="AM96" i="3" s="1"/>
  <c r="CQ39" i="3"/>
  <c r="AL96" i="3" s="1"/>
  <c r="CQ38" i="3"/>
  <c r="AK96" i="3" s="1"/>
  <c r="CQ37" i="3"/>
  <c r="AJ96" i="3" s="1"/>
  <c r="CP49" i="3"/>
  <c r="AV95" i="3" s="1"/>
  <c r="CP48" i="3"/>
  <c r="AU95" i="3" s="1"/>
  <c r="CP47" i="3"/>
  <c r="AT95" i="3" s="1"/>
  <c r="CP46" i="3"/>
  <c r="AS95" i="3" s="1"/>
  <c r="CP45" i="3"/>
  <c r="AR95" i="3" s="1"/>
  <c r="CP44" i="3"/>
  <c r="AQ95" i="3" s="1"/>
  <c r="CP43" i="3"/>
  <c r="AP95" i="3" s="1"/>
  <c r="CP42" i="3"/>
  <c r="AO95" i="3" s="1"/>
  <c r="CP41" i="3"/>
  <c r="AN95" i="3" s="1"/>
  <c r="CP40" i="3"/>
  <c r="AM95" i="3" s="1"/>
  <c r="CP39" i="3"/>
  <c r="AL95" i="3" s="1"/>
  <c r="CP38" i="3"/>
  <c r="AK95" i="3" s="1"/>
  <c r="CP37" i="3"/>
  <c r="AJ95" i="3" s="1"/>
  <c r="CO49" i="3"/>
  <c r="AV94" i="3" s="1"/>
  <c r="CO48" i="3"/>
  <c r="AU94" i="3" s="1"/>
  <c r="CO47" i="3"/>
  <c r="AT94" i="3" s="1"/>
  <c r="CO46" i="3"/>
  <c r="AS94" i="3" s="1"/>
  <c r="CO45" i="3"/>
  <c r="AR94" i="3" s="1"/>
  <c r="CO44" i="3"/>
  <c r="AQ94" i="3" s="1"/>
  <c r="CO43" i="3"/>
  <c r="AP94" i="3" s="1"/>
  <c r="CO42" i="3"/>
  <c r="AO94" i="3" s="1"/>
  <c r="CO41" i="3"/>
  <c r="AN94" i="3" s="1"/>
  <c r="CO40" i="3"/>
  <c r="AM94" i="3" s="1"/>
  <c r="CO39" i="3"/>
  <c r="AL94" i="3" s="1"/>
  <c r="CO38" i="3"/>
  <c r="AK94" i="3" s="1"/>
  <c r="CO37" i="3"/>
  <c r="AJ94" i="3" s="1"/>
  <c r="CN49" i="3"/>
  <c r="AV93" i="3" s="1"/>
  <c r="CN48" i="3"/>
  <c r="AU93" i="3" s="1"/>
  <c r="CN47" i="3"/>
  <c r="AT93" i="3" s="1"/>
  <c r="CN46" i="3"/>
  <c r="AS93" i="3" s="1"/>
  <c r="CN45" i="3"/>
  <c r="AR93" i="3" s="1"/>
  <c r="CN44" i="3"/>
  <c r="AQ93" i="3" s="1"/>
  <c r="CN43" i="3"/>
  <c r="AP93" i="3" s="1"/>
  <c r="CN42" i="3"/>
  <c r="AO93" i="3" s="1"/>
  <c r="CN41" i="3"/>
  <c r="AN93" i="3" s="1"/>
  <c r="CN40" i="3"/>
  <c r="AM93" i="3" s="1"/>
  <c r="CN39" i="3"/>
  <c r="AL93" i="3" s="1"/>
  <c r="CN38" i="3"/>
  <c r="AK93" i="3" s="1"/>
  <c r="CN37" i="3"/>
  <c r="AJ93" i="3" s="1"/>
  <c r="CM49" i="3"/>
  <c r="AV92" i="3" s="1"/>
  <c r="CM47" i="3"/>
  <c r="AT92" i="3" s="1"/>
  <c r="CM46" i="3"/>
  <c r="AS92" i="3" s="1"/>
  <c r="CM45" i="3"/>
  <c r="AR92" i="3" s="1"/>
  <c r="CM44" i="3"/>
  <c r="AQ92" i="3" s="1"/>
  <c r="CM43" i="3"/>
  <c r="AP92" i="3" s="1"/>
  <c r="CM42" i="3"/>
  <c r="AO92" i="3" s="1"/>
  <c r="CM41" i="3"/>
  <c r="AN92" i="3" s="1"/>
  <c r="CM40" i="3"/>
  <c r="AM92" i="3" s="1"/>
  <c r="CM39" i="3"/>
  <c r="AL92" i="3" s="1"/>
  <c r="CM38" i="3"/>
  <c r="AK92" i="3" s="1"/>
  <c r="CM37" i="3"/>
  <c r="AJ92" i="3" s="1"/>
  <c r="CL49" i="3"/>
  <c r="AV91" i="3" s="1"/>
  <c r="CL48" i="3"/>
  <c r="AU91" i="3" s="1"/>
  <c r="CL47" i="3"/>
  <c r="AT91" i="3" s="1"/>
  <c r="CL46" i="3"/>
  <c r="AS91" i="3" s="1"/>
  <c r="CL45" i="3"/>
  <c r="AR91" i="3" s="1"/>
  <c r="CL44" i="3"/>
  <c r="AQ91" i="3" s="1"/>
  <c r="CL43" i="3"/>
  <c r="AP91" i="3" s="1"/>
  <c r="CL41" i="3"/>
  <c r="AN91" i="3" s="1"/>
  <c r="CL40" i="3"/>
  <c r="AM91" i="3" s="1"/>
  <c r="CL39" i="3"/>
  <c r="AL91" i="3" s="1"/>
  <c r="CL38" i="3"/>
  <c r="AK91" i="3" s="1"/>
  <c r="CL37" i="3"/>
  <c r="AJ91" i="3" s="1"/>
  <c r="CK49" i="3"/>
  <c r="AV90" i="3" s="1"/>
  <c r="CK48" i="3"/>
  <c r="AU90" i="3" s="1"/>
  <c r="CK47" i="3"/>
  <c r="AT90" i="3" s="1"/>
  <c r="CK46" i="3"/>
  <c r="AS90" i="3" s="1"/>
  <c r="CK45" i="3"/>
  <c r="AR90" i="3" s="1"/>
  <c r="CK44" i="3"/>
  <c r="AQ90" i="3" s="1"/>
  <c r="CK43" i="3"/>
  <c r="AP90" i="3" s="1"/>
  <c r="CK42" i="3"/>
  <c r="AO90" i="3" s="1"/>
  <c r="CK41" i="3"/>
  <c r="AN90" i="3" s="1"/>
  <c r="CK40" i="3"/>
  <c r="AM90" i="3" s="1"/>
  <c r="CK39" i="3"/>
  <c r="AL90" i="3" s="1"/>
  <c r="CK38" i="3"/>
  <c r="AK90" i="3" s="1"/>
  <c r="CK37" i="3"/>
  <c r="AJ90" i="3" s="1"/>
  <c r="CJ49" i="3"/>
  <c r="AV89" i="3" s="1"/>
  <c r="CJ48" i="3"/>
  <c r="AU89" i="3" s="1"/>
  <c r="CJ47" i="3"/>
  <c r="AT89" i="3" s="1"/>
  <c r="CJ46" i="3"/>
  <c r="AS89" i="3" s="1"/>
  <c r="CJ45" i="3"/>
  <c r="AR89" i="3" s="1"/>
  <c r="CJ44" i="3"/>
  <c r="AQ89" i="3" s="1"/>
  <c r="CJ43" i="3"/>
  <c r="AP89" i="3" s="1"/>
  <c r="CJ42" i="3"/>
  <c r="AO89" i="3" s="1"/>
  <c r="CJ41" i="3"/>
  <c r="AN89" i="3" s="1"/>
  <c r="CJ40" i="3"/>
  <c r="AM89" i="3" s="1"/>
  <c r="CJ39" i="3"/>
  <c r="AL89" i="3" s="1"/>
  <c r="CJ38" i="3"/>
  <c r="AK89" i="3" s="1"/>
  <c r="CJ37" i="3"/>
  <c r="AJ89" i="3" s="1"/>
  <c r="BH48" i="3"/>
  <c r="AU61" i="3" s="1"/>
  <c r="BG48" i="3"/>
  <c r="AU60" i="3" s="1"/>
  <c r="BE48" i="3"/>
  <c r="AU58" i="3" s="1"/>
  <c r="BD48" i="3"/>
  <c r="AU57" i="3" s="1"/>
  <c r="BC48" i="3"/>
  <c r="AU56" i="3" s="1"/>
  <c r="BH49" i="3"/>
  <c r="AV61" i="3" s="1"/>
  <c r="BG49" i="3"/>
  <c r="AV60" i="3" s="1"/>
  <c r="BE49" i="3"/>
  <c r="AV58" i="3" s="1"/>
  <c r="BD49" i="3"/>
  <c r="AV57" i="3" s="1"/>
  <c r="BC49" i="3"/>
  <c r="AV56" i="3" s="1"/>
  <c r="BB49" i="3"/>
  <c r="AV55" i="3" s="1"/>
  <c r="BB48" i="3"/>
  <c r="AU55" i="3" s="1"/>
  <c r="BA49" i="3"/>
  <c r="AV54" i="3" s="1"/>
  <c r="BA48" i="3"/>
  <c r="AU54" i="3" s="1"/>
  <c r="BV34" i="3"/>
  <c r="AG75" i="3" s="1"/>
  <c r="BV33" i="3"/>
  <c r="AF75" i="3" s="1"/>
  <c r="BU34" i="3"/>
  <c r="AG74" i="3" s="1"/>
  <c r="BU33" i="3"/>
  <c r="AF74" i="3" s="1"/>
  <c r="BR34" i="3"/>
  <c r="AG71" i="3" s="1"/>
  <c r="BR33" i="3"/>
  <c r="AF71" i="3" s="1"/>
  <c r="BQ34" i="3"/>
  <c r="AG70" i="3" s="1"/>
  <c r="BQ33" i="3"/>
  <c r="AF70" i="3" s="1"/>
  <c r="BP34" i="3"/>
  <c r="AG69" i="3" s="1"/>
  <c r="BP33" i="3"/>
  <c r="AF69" i="3" s="1"/>
  <c r="BO34" i="3"/>
  <c r="AG68" i="3" s="1"/>
  <c r="BO33" i="3"/>
  <c r="AF68" i="3" s="1"/>
  <c r="BN34" i="3"/>
  <c r="AG67" i="3" s="1"/>
  <c r="BN33" i="3"/>
  <c r="AF67" i="3" s="1"/>
  <c r="BM34" i="3"/>
  <c r="AG66" i="3" s="1"/>
  <c r="BM33" i="3"/>
  <c r="AF66" i="3" s="1"/>
  <c r="BL34" i="3"/>
  <c r="AG65" i="3" s="1"/>
  <c r="BL33" i="3"/>
  <c r="AF65" i="3" s="1"/>
  <c r="BK34" i="3"/>
  <c r="AG64" i="3" s="1"/>
  <c r="BK33" i="3"/>
  <c r="AF64" i="3" s="1"/>
  <c r="AY34" i="3"/>
  <c r="AG52" i="3" s="1"/>
  <c r="AY33" i="3"/>
  <c r="AF52" i="3" s="1"/>
  <c r="BV30" i="3"/>
  <c r="AC75" i="3" s="1"/>
  <c r="BV29" i="3"/>
  <c r="AB75" i="3" s="1"/>
  <c r="BV28" i="3"/>
  <c r="AA75" i="3" s="1"/>
  <c r="BV27" i="3"/>
  <c r="Z75" i="3" s="1"/>
  <c r="BV26" i="3"/>
  <c r="Y75" i="3" s="1"/>
  <c r="BV25" i="3"/>
  <c r="X75" i="3" s="1"/>
  <c r="BV24" i="3"/>
  <c r="W75" i="3" s="1"/>
  <c r="BU30" i="3"/>
  <c r="AC74" i="3" s="1"/>
  <c r="BU29" i="3"/>
  <c r="AB74" i="3" s="1"/>
  <c r="BU28" i="3"/>
  <c r="AA74" i="3" s="1"/>
  <c r="BU27" i="3"/>
  <c r="Z74" i="3" s="1"/>
  <c r="BU26" i="3"/>
  <c r="Y74" i="3" s="1"/>
  <c r="BU25" i="3"/>
  <c r="X74" i="3" s="1"/>
  <c r="BU24" i="3"/>
  <c r="W74" i="3" s="1"/>
  <c r="BR30" i="3"/>
  <c r="AC71" i="3" s="1"/>
  <c r="BR29" i="3"/>
  <c r="AB71" i="3" s="1"/>
  <c r="BR28" i="3"/>
  <c r="AA71" i="3" s="1"/>
  <c r="BR27" i="3"/>
  <c r="Z71" i="3" s="1"/>
  <c r="BR26" i="3"/>
  <c r="Y71" i="3" s="1"/>
  <c r="BR25" i="3"/>
  <c r="X71" i="3" s="1"/>
  <c r="BR24" i="3"/>
  <c r="W71" i="3" s="1"/>
  <c r="BQ30" i="3"/>
  <c r="AC70" i="3" s="1"/>
  <c r="BQ29" i="3"/>
  <c r="AB70" i="3" s="1"/>
  <c r="BQ28" i="3"/>
  <c r="AA70" i="3" s="1"/>
  <c r="BQ27" i="3"/>
  <c r="Z70" i="3" s="1"/>
  <c r="BQ26" i="3"/>
  <c r="Y70" i="3" s="1"/>
  <c r="BQ25" i="3"/>
  <c r="X70" i="3" s="1"/>
  <c r="BQ24" i="3"/>
  <c r="W70" i="3" s="1"/>
  <c r="BP30" i="3"/>
  <c r="AC69" i="3" s="1"/>
  <c r="BP29" i="3"/>
  <c r="AB69" i="3" s="1"/>
  <c r="BP28" i="3"/>
  <c r="AA69" i="3" s="1"/>
  <c r="BP27" i="3"/>
  <c r="Z69" i="3" s="1"/>
  <c r="BP26" i="3"/>
  <c r="Y69" i="3" s="1"/>
  <c r="BP25" i="3"/>
  <c r="X69" i="3" s="1"/>
  <c r="BP24" i="3"/>
  <c r="W69" i="3" s="1"/>
  <c r="BO30" i="3"/>
  <c r="AC68" i="3" s="1"/>
  <c r="BO29" i="3"/>
  <c r="AB68" i="3" s="1"/>
  <c r="BO28" i="3"/>
  <c r="AA68" i="3" s="1"/>
  <c r="BO27" i="3"/>
  <c r="Z68" i="3" s="1"/>
  <c r="BO26" i="3"/>
  <c r="Y68" i="3" s="1"/>
  <c r="BO25" i="3"/>
  <c r="X68" i="3" s="1"/>
  <c r="BO24" i="3"/>
  <c r="W68" i="3" s="1"/>
  <c r="BN30" i="3"/>
  <c r="AC67" i="3" s="1"/>
  <c r="BN29" i="3"/>
  <c r="AB67" i="3" s="1"/>
  <c r="BN28" i="3"/>
  <c r="AA67" i="3" s="1"/>
  <c r="BN27" i="3"/>
  <c r="Z67" i="3" s="1"/>
  <c r="BN26" i="3"/>
  <c r="Y67" i="3" s="1"/>
  <c r="BN25" i="3"/>
  <c r="X67" i="3" s="1"/>
  <c r="BN24" i="3"/>
  <c r="W67" i="3" s="1"/>
  <c r="BM30" i="3"/>
  <c r="AC66" i="3" s="1"/>
  <c r="BM29" i="3"/>
  <c r="AB66" i="3" s="1"/>
  <c r="BM28" i="3"/>
  <c r="AA66" i="3" s="1"/>
  <c r="BM27" i="3"/>
  <c r="Z66" i="3" s="1"/>
  <c r="BM26" i="3"/>
  <c r="Y66" i="3" s="1"/>
  <c r="BM25" i="3"/>
  <c r="X66" i="3" s="1"/>
  <c r="BM24" i="3"/>
  <c r="W66" i="3" s="1"/>
  <c r="BL30" i="3"/>
  <c r="AC65" i="3" s="1"/>
  <c r="BL29" i="3"/>
  <c r="AB65" i="3" s="1"/>
  <c r="BL28" i="3"/>
  <c r="AA65" i="3" s="1"/>
  <c r="BL27" i="3"/>
  <c r="Z65" i="3" s="1"/>
  <c r="BL26" i="3"/>
  <c r="Y65" i="3" s="1"/>
  <c r="BL25" i="3"/>
  <c r="X65" i="3" s="1"/>
  <c r="BL24" i="3"/>
  <c r="W65" i="3" s="1"/>
  <c r="BK30" i="3"/>
  <c r="AC64" i="3" s="1"/>
  <c r="BK29" i="3"/>
  <c r="AB64" i="3" s="1"/>
  <c r="BK28" i="3"/>
  <c r="AA64" i="3" s="1"/>
  <c r="BK27" i="3"/>
  <c r="Z64" i="3" s="1"/>
  <c r="BK26" i="3"/>
  <c r="Y64" i="3" s="1"/>
  <c r="BK25" i="3"/>
  <c r="X64" i="3" s="1"/>
  <c r="BK24" i="3"/>
  <c r="W64" i="3" s="1"/>
  <c r="AY30" i="3"/>
  <c r="AC52" i="3" s="1"/>
  <c r="AY29" i="3"/>
  <c r="AB52" i="3" s="1"/>
  <c r="AY28" i="3"/>
  <c r="AA52" i="3" s="1"/>
  <c r="AY27" i="3"/>
  <c r="Z52" i="3" s="1"/>
  <c r="AY26" i="3"/>
  <c r="Y52" i="3" s="1"/>
  <c r="AY25" i="3"/>
  <c r="X52" i="3" s="1"/>
  <c r="AY24" i="3"/>
  <c r="W52" i="3" s="1"/>
  <c r="CZ19" i="3"/>
  <c r="R105" i="3" s="1"/>
  <c r="CN16" i="3"/>
  <c r="O93" i="3" s="1"/>
  <c r="CZ34" i="3"/>
  <c r="AG105" i="3" s="1"/>
  <c r="CZ33" i="3"/>
  <c r="AF105" i="3" s="1"/>
  <c r="CY34" i="3"/>
  <c r="AG104" i="3" s="1"/>
  <c r="CY33" i="3"/>
  <c r="AF104" i="3" s="1"/>
  <c r="CX34" i="3"/>
  <c r="AG103" i="3" s="1"/>
  <c r="CX33" i="3"/>
  <c r="AF103" i="3" s="1"/>
  <c r="CW34" i="3"/>
  <c r="AG102" i="3" s="1"/>
  <c r="CW33" i="3"/>
  <c r="AF102" i="3" s="1"/>
  <c r="CV34" i="3"/>
  <c r="AG101" i="3" s="1"/>
  <c r="CV33" i="3"/>
  <c r="AF101" i="3" s="1"/>
  <c r="CU34" i="3"/>
  <c r="AG100" i="3" s="1"/>
  <c r="CU33" i="3"/>
  <c r="AF100" i="3" s="1"/>
  <c r="CT34" i="3"/>
  <c r="AG99" i="3" s="1"/>
  <c r="CT33" i="3"/>
  <c r="AF99" i="3" s="1"/>
  <c r="CS34" i="3"/>
  <c r="AG98" i="3" s="1"/>
  <c r="CS33" i="3"/>
  <c r="AF98" i="3" s="1"/>
  <c r="CR34" i="3"/>
  <c r="AG97" i="3" s="1"/>
  <c r="CR33" i="3"/>
  <c r="AF97" i="3" s="1"/>
  <c r="CQ34" i="3"/>
  <c r="AG96" i="3" s="1"/>
  <c r="CQ33" i="3"/>
  <c r="AF96" i="3" s="1"/>
  <c r="CP34" i="3"/>
  <c r="AG95" i="3" s="1"/>
  <c r="CP33" i="3"/>
  <c r="AF95" i="3" s="1"/>
  <c r="CO34" i="3"/>
  <c r="AG94" i="3" s="1"/>
  <c r="CO33" i="3"/>
  <c r="AF94" i="3" s="1"/>
  <c r="CN34" i="3"/>
  <c r="AG93" i="3" s="1"/>
  <c r="CN33" i="3"/>
  <c r="AF93" i="3" s="1"/>
  <c r="CM34" i="3"/>
  <c r="AG92" i="3" s="1"/>
  <c r="CM33" i="3"/>
  <c r="AF92" i="3" s="1"/>
  <c r="CL34" i="3"/>
  <c r="AG91" i="3" s="1"/>
  <c r="CK34" i="3"/>
  <c r="AG90" i="3" s="1"/>
  <c r="CL33" i="3"/>
  <c r="AF91" i="3" s="1"/>
  <c r="CK33" i="3"/>
  <c r="AF90" i="3" s="1"/>
  <c r="CJ34" i="3"/>
  <c r="AG89" i="3" s="1"/>
  <c r="CJ33" i="3"/>
  <c r="AF89" i="3" s="1"/>
  <c r="AV33" i="3"/>
  <c r="AF49" i="3" s="1"/>
  <c r="AU34" i="3"/>
  <c r="AG48" i="3" s="1"/>
  <c r="AU33" i="3"/>
  <c r="AF48" i="3" s="1"/>
  <c r="CZ30" i="3"/>
  <c r="AC105" i="3" s="1"/>
  <c r="CY30" i="3"/>
  <c r="AC104" i="3" s="1"/>
  <c r="CX30" i="3"/>
  <c r="AC103" i="3" s="1"/>
  <c r="CW30" i="3"/>
  <c r="AC102" i="3" s="1"/>
  <c r="CV30" i="3"/>
  <c r="AC101" i="3" s="1"/>
  <c r="CU30" i="3"/>
  <c r="AC100" i="3" s="1"/>
  <c r="CT30" i="3"/>
  <c r="AC99" i="3" s="1"/>
  <c r="CS30" i="3"/>
  <c r="AC98" i="3" s="1"/>
  <c r="CR30" i="3"/>
  <c r="AC97" i="3" s="1"/>
  <c r="CQ30" i="3"/>
  <c r="AC96" i="3" s="1"/>
  <c r="CP30" i="3"/>
  <c r="AC95" i="3" s="1"/>
  <c r="CO30" i="3"/>
  <c r="AC94" i="3" s="1"/>
  <c r="CN30" i="3"/>
  <c r="AC93" i="3" s="1"/>
  <c r="CM30" i="3"/>
  <c r="AC92" i="3" s="1"/>
  <c r="CL30" i="3"/>
  <c r="AC91" i="3" s="1"/>
  <c r="CK30" i="3"/>
  <c r="AC90" i="3" s="1"/>
  <c r="CJ30" i="3"/>
  <c r="AC89" i="3" s="1"/>
  <c r="CZ29" i="3"/>
  <c r="AB105" i="3" s="1"/>
  <c r="CY29" i="3"/>
  <c r="AB104" i="3" s="1"/>
  <c r="CX29" i="3"/>
  <c r="AB103" i="3" s="1"/>
  <c r="CW29" i="3"/>
  <c r="AB102" i="3" s="1"/>
  <c r="CV29" i="3"/>
  <c r="AB101" i="3" s="1"/>
  <c r="CU29" i="3"/>
  <c r="AB100" i="3" s="1"/>
  <c r="CT29" i="3"/>
  <c r="AB99" i="3" s="1"/>
  <c r="CS29" i="3"/>
  <c r="AB98" i="3" s="1"/>
  <c r="CR29" i="3"/>
  <c r="AB97" i="3" s="1"/>
  <c r="CQ29" i="3"/>
  <c r="AB96" i="3" s="1"/>
  <c r="CP29" i="3"/>
  <c r="AB95" i="3" s="1"/>
  <c r="CO29" i="3"/>
  <c r="AB94" i="3" s="1"/>
  <c r="CN29" i="3"/>
  <c r="AB93" i="3" s="1"/>
  <c r="CM29" i="3"/>
  <c r="AB92" i="3" s="1"/>
  <c r="CL29" i="3"/>
  <c r="AB91" i="3" s="1"/>
  <c r="CK29" i="3"/>
  <c r="AB90" i="3" s="1"/>
  <c r="CJ29" i="3"/>
  <c r="AB89" i="3" s="1"/>
  <c r="CZ28" i="3"/>
  <c r="AA105" i="3" s="1"/>
  <c r="CY28" i="3"/>
  <c r="AA104" i="3" s="1"/>
  <c r="CX28" i="3"/>
  <c r="AA103" i="3" s="1"/>
  <c r="CW28" i="3"/>
  <c r="AA102" i="3" s="1"/>
  <c r="CV28" i="3"/>
  <c r="AA101" i="3" s="1"/>
  <c r="CU28" i="3"/>
  <c r="AA100" i="3" s="1"/>
  <c r="CT28" i="3"/>
  <c r="AA99" i="3" s="1"/>
  <c r="CS28" i="3"/>
  <c r="AA98" i="3" s="1"/>
  <c r="CR28" i="3"/>
  <c r="AA97" i="3" s="1"/>
  <c r="CQ28" i="3"/>
  <c r="AA96" i="3" s="1"/>
  <c r="CP28" i="3"/>
  <c r="AA95" i="3" s="1"/>
  <c r="CO28" i="3"/>
  <c r="AA94" i="3" s="1"/>
  <c r="CN28" i="3"/>
  <c r="AA93" i="3" s="1"/>
  <c r="CM28" i="3"/>
  <c r="AA92" i="3" s="1"/>
  <c r="CL28" i="3"/>
  <c r="AA91" i="3" s="1"/>
  <c r="CK28" i="3"/>
  <c r="AA90" i="3" s="1"/>
  <c r="CJ28" i="3"/>
  <c r="AA89" i="3" s="1"/>
  <c r="CZ27" i="3"/>
  <c r="Z105" i="3" s="1"/>
  <c r="CY27" i="3"/>
  <c r="Z104" i="3" s="1"/>
  <c r="CX27" i="3"/>
  <c r="Z103" i="3" s="1"/>
  <c r="CW27" i="3"/>
  <c r="Z102" i="3" s="1"/>
  <c r="CV27" i="3"/>
  <c r="Z101" i="3" s="1"/>
  <c r="CU27" i="3"/>
  <c r="Z100" i="3" s="1"/>
  <c r="CT27" i="3"/>
  <c r="Z99" i="3" s="1"/>
  <c r="CS27" i="3"/>
  <c r="Z98" i="3" s="1"/>
  <c r="CR27" i="3"/>
  <c r="Z97" i="3" s="1"/>
  <c r="CQ27" i="3"/>
  <c r="Z96" i="3" s="1"/>
  <c r="CP27" i="3"/>
  <c r="Z95" i="3" s="1"/>
  <c r="CO27" i="3"/>
  <c r="Z94" i="3" s="1"/>
  <c r="CN27" i="3"/>
  <c r="Z93" i="3" s="1"/>
  <c r="CM27" i="3"/>
  <c r="Z92" i="3" s="1"/>
  <c r="CL27" i="3"/>
  <c r="Z91" i="3" s="1"/>
  <c r="CK27" i="3"/>
  <c r="Z90" i="3" s="1"/>
  <c r="CJ27" i="3"/>
  <c r="Z89" i="3" s="1"/>
  <c r="CZ26" i="3"/>
  <c r="Y105" i="3" s="1"/>
  <c r="CY26" i="3"/>
  <c r="Y104" i="3" s="1"/>
  <c r="CX26" i="3"/>
  <c r="Y103" i="3" s="1"/>
  <c r="CW26" i="3"/>
  <c r="Y102" i="3" s="1"/>
  <c r="CV26" i="3"/>
  <c r="Y101" i="3" s="1"/>
  <c r="CU26" i="3"/>
  <c r="Y100" i="3" s="1"/>
  <c r="CT26" i="3"/>
  <c r="Y99" i="3" s="1"/>
  <c r="CS26" i="3"/>
  <c r="Y98" i="3" s="1"/>
  <c r="CR26" i="3"/>
  <c r="Y97" i="3" s="1"/>
  <c r="CQ26" i="3"/>
  <c r="Y96" i="3" s="1"/>
  <c r="CP26" i="3"/>
  <c r="Y95" i="3" s="1"/>
  <c r="CO26" i="3"/>
  <c r="Y94" i="3" s="1"/>
  <c r="CN26" i="3"/>
  <c r="Y93" i="3" s="1"/>
  <c r="CM26" i="3"/>
  <c r="Y92" i="3" s="1"/>
  <c r="CL26" i="3"/>
  <c r="Y91" i="3" s="1"/>
  <c r="CK26" i="3"/>
  <c r="Y90" i="3" s="1"/>
  <c r="CJ26" i="3"/>
  <c r="Y89" i="3" s="1"/>
  <c r="CZ25" i="3"/>
  <c r="X105" i="3" s="1"/>
  <c r="CY25" i="3"/>
  <c r="X104" i="3" s="1"/>
  <c r="CX25" i="3"/>
  <c r="X103" i="3" s="1"/>
  <c r="CW25" i="3"/>
  <c r="X102" i="3" s="1"/>
  <c r="CV25" i="3"/>
  <c r="X101" i="3" s="1"/>
  <c r="CU25" i="3"/>
  <c r="X100" i="3" s="1"/>
  <c r="CT25" i="3"/>
  <c r="X99" i="3" s="1"/>
  <c r="CS25" i="3"/>
  <c r="X98" i="3" s="1"/>
  <c r="CR25" i="3"/>
  <c r="X97" i="3" s="1"/>
  <c r="CQ25" i="3"/>
  <c r="X96" i="3" s="1"/>
  <c r="CP25" i="3"/>
  <c r="X95" i="3" s="1"/>
  <c r="CO25" i="3"/>
  <c r="X94" i="3" s="1"/>
  <c r="CN25" i="3"/>
  <c r="X93" i="3" s="1"/>
  <c r="CM25" i="3"/>
  <c r="X92" i="3" s="1"/>
  <c r="CL25" i="3"/>
  <c r="X91" i="3" s="1"/>
  <c r="CK25" i="3"/>
  <c r="X90" i="3" s="1"/>
  <c r="CJ25" i="3"/>
  <c r="X89" i="3" s="1"/>
  <c r="CZ24" i="3"/>
  <c r="W105" i="3" s="1"/>
  <c r="CY24" i="3"/>
  <c r="W104" i="3" s="1"/>
  <c r="CX24" i="3"/>
  <c r="W103" i="3" s="1"/>
  <c r="CW24" i="3"/>
  <c r="W102" i="3" s="1"/>
  <c r="CV24" i="3"/>
  <c r="W101" i="3" s="1"/>
  <c r="CU24" i="3"/>
  <c r="W100" i="3" s="1"/>
  <c r="CT24" i="3"/>
  <c r="W99" i="3" s="1"/>
  <c r="CS24" i="3"/>
  <c r="W98" i="3" s="1"/>
  <c r="CR24" i="3"/>
  <c r="W97" i="3" s="1"/>
  <c r="CQ24" i="3"/>
  <c r="W96" i="3" s="1"/>
  <c r="CP24" i="3"/>
  <c r="W95" i="3" s="1"/>
  <c r="CO24" i="3"/>
  <c r="W94" i="3" s="1"/>
  <c r="CN24" i="3"/>
  <c r="W93" i="3" s="1"/>
  <c r="CM24" i="3"/>
  <c r="W92" i="3" s="1"/>
  <c r="CL24" i="3"/>
  <c r="W91" i="3" s="1"/>
  <c r="CK24" i="3"/>
  <c r="W90" i="3" s="1"/>
  <c r="CJ24" i="3"/>
  <c r="W89" i="3" s="1"/>
  <c r="AV30" i="3"/>
  <c r="AC49" i="3" s="1"/>
  <c r="AU30" i="3"/>
  <c r="AC48" i="3" s="1"/>
  <c r="AV29" i="3"/>
  <c r="AB49" i="3" s="1"/>
  <c r="AU29" i="3"/>
  <c r="AB48" i="3" s="1"/>
  <c r="AV28" i="3"/>
  <c r="AA49" i="3" s="1"/>
  <c r="AU28" i="3"/>
  <c r="AA48" i="3" s="1"/>
  <c r="AV27" i="3"/>
  <c r="Z49" i="3" s="1"/>
  <c r="AU27" i="3"/>
  <c r="Z48" i="3" s="1"/>
  <c r="AV26" i="3"/>
  <c r="Y49" i="3" s="1"/>
  <c r="AU26" i="3"/>
  <c r="Y48" i="3" s="1"/>
  <c r="AV25" i="3"/>
  <c r="X49" i="3" s="1"/>
  <c r="AU25" i="3"/>
  <c r="X48" i="3" s="1"/>
  <c r="AV24" i="3"/>
  <c r="W49" i="3" s="1"/>
  <c r="AU24" i="3"/>
  <c r="W48" i="3" s="1"/>
  <c r="BV21" i="3"/>
  <c r="T75" i="3" s="1"/>
  <c r="BV20" i="3"/>
  <c r="S75" i="3" s="1"/>
  <c r="BV19" i="3"/>
  <c r="R75" i="3" s="1"/>
  <c r="BV18" i="3"/>
  <c r="Q75" i="3" s="1"/>
  <c r="BV17" i="3"/>
  <c r="P75" i="3" s="1"/>
  <c r="BU21" i="3"/>
  <c r="T74" i="3" s="1"/>
  <c r="BU20" i="3"/>
  <c r="S74" i="3" s="1"/>
  <c r="BU19" i="3"/>
  <c r="R74" i="3" s="1"/>
  <c r="BU18" i="3"/>
  <c r="Q74" i="3" s="1"/>
  <c r="BU17" i="3"/>
  <c r="P74" i="3" s="1"/>
  <c r="BV16" i="3"/>
  <c r="O75" i="3" s="1"/>
  <c r="BU16" i="3"/>
  <c r="O74" i="3" s="1"/>
  <c r="BR21" i="3"/>
  <c r="T71" i="3" s="1"/>
  <c r="BQ21" i="3"/>
  <c r="T70" i="3" s="1"/>
  <c r="BP21" i="3"/>
  <c r="T69" i="3" s="1"/>
  <c r="BO21" i="3"/>
  <c r="T68" i="3" s="1"/>
  <c r="BN21" i="3"/>
  <c r="T67" i="3" s="1"/>
  <c r="BM21" i="3"/>
  <c r="T66" i="3" s="1"/>
  <c r="BK21" i="3"/>
  <c r="T64" i="3" s="1"/>
  <c r="BR20" i="3"/>
  <c r="S71" i="3" s="1"/>
  <c r="BQ20" i="3"/>
  <c r="S70" i="3" s="1"/>
  <c r="BP20" i="3"/>
  <c r="S69" i="3" s="1"/>
  <c r="BO20" i="3"/>
  <c r="S68" i="3" s="1"/>
  <c r="BN20" i="3"/>
  <c r="S67" i="3" s="1"/>
  <c r="BM20" i="3"/>
  <c r="S66" i="3" s="1"/>
  <c r="BL20" i="3"/>
  <c r="S65" i="3" s="1"/>
  <c r="BK20" i="3"/>
  <c r="S64" i="3" s="1"/>
  <c r="BR19" i="3"/>
  <c r="R71" i="3" s="1"/>
  <c r="BQ19" i="3"/>
  <c r="R70" i="3" s="1"/>
  <c r="BP19" i="3"/>
  <c r="R69" i="3" s="1"/>
  <c r="BO19" i="3"/>
  <c r="R68" i="3" s="1"/>
  <c r="BN19" i="3"/>
  <c r="R67" i="3" s="1"/>
  <c r="BM19" i="3"/>
  <c r="R66" i="3" s="1"/>
  <c r="BL19" i="3"/>
  <c r="R65" i="3" s="1"/>
  <c r="BK19" i="3"/>
  <c r="R64" i="3" s="1"/>
  <c r="BR18" i="3"/>
  <c r="Q71" i="3" s="1"/>
  <c r="BQ18" i="3"/>
  <c r="Q70" i="3" s="1"/>
  <c r="BP18" i="3"/>
  <c r="Q69" i="3" s="1"/>
  <c r="BO18" i="3"/>
  <c r="Q68" i="3" s="1"/>
  <c r="BN18" i="3"/>
  <c r="Q67" i="3" s="1"/>
  <c r="BM18" i="3"/>
  <c r="Q66" i="3" s="1"/>
  <c r="BL18" i="3"/>
  <c r="Q65" i="3" s="1"/>
  <c r="BK18" i="3"/>
  <c r="Q64" i="3" s="1"/>
  <c r="BR17" i="3"/>
  <c r="P71" i="3" s="1"/>
  <c r="BQ17" i="3"/>
  <c r="P70" i="3" s="1"/>
  <c r="BP17" i="3"/>
  <c r="P69" i="3" s="1"/>
  <c r="BO17" i="3"/>
  <c r="P68" i="3" s="1"/>
  <c r="BN17" i="3"/>
  <c r="P67" i="3" s="1"/>
  <c r="BM17" i="3"/>
  <c r="P66" i="3" s="1"/>
  <c r="BL17" i="3"/>
  <c r="P65" i="3" s="1"/>
  <c r="BK17" i="3"/>
  <c r="P64" i="3" s="1"/>
  <c r="BR16" i="3"/>
  <c r="O71" i="3" s="1"/>
  <c r="BQ16" i="3"/>
  <c r="O70" i="3" s="1"/>
  <c r="BP16" i="3"/>
  <c r="O69" i="3" s="1"/>
  <c r="BO16" i="3"/>
  <c r="O68" i="3" s="1"/>
  <c r="BN16" i="3"/>
  <c r="O67" i="3" s="1"/>
  <c r="BM16" i="3"/>
  <c r="O66" i="3" s="1"/>
  <c r="BL16" i="3"/>
  <c r="O65" i="3" s="1"/>
  <c r="BK16" i="3"/>
  <c r="O64" i="3" s="1"/>
  <c r="AY21" i="3"/>
  <c r="T52" i="3" s="1"/>
  <c r="AY20" i="3"/>
  <c r="S52" i="3" s="1"/>
  <c r="AY19" i="3"/>
  <c r="R52" i="3" s="1"/>
  <c r="AY18" i="3"/>
  <c r="Q52" i="3" s="1"/>
  <c r="AY17" i="3"/>
  <c r="P52" i="3" s="1"/>
  <c r="AY16" i="3"/>
  <c r="O52" i="3" s="1"/>
  <c r="CZ21" i="3"/>
  <c r="T105" i="3" s="1"/>
  <c r="CY21" i="3"/>
  <c r="T104" i="3" s="1"/>
  <c r="CX21" i="3"/>
  <c r="T103" i="3" s="1"/>
  <c r="CW21" i="3"/>
  <c r="T102" i="3" s="1"/>
  <c r="CV21" i="3"/>
  <c r="T101" i="3" s="1"/>
  <c r="CU21" i="3"/>
  <c r="T100" i="3" s="1"/>
  <c r="CT21" i="3"/>
  <c r="T99" i="3" s="1"/>
  <c r="CS21" i="3"/>
  <c r="T98" i="3" s="1"/>
  <c r="CR21" i="3"/>
  <c r="T97" i="3" s="1"/>
  <c r="CQ21" i="3"/>
  <c r="T96" i="3" s="1"/>
  <c r="CP21" i="3"/>
  <c r="T95" i="3" s="1"/>
  <c r="CO21" i="3"/>
  <c r="T94" i="3" s="1"/>
  <c r="CN21" i="3"/>
  <c r="T93" i="3" s="1"/>
  <c r="CM21" i="3"/>
  <c r="T92" i="3" s="1"/>
  <c r="CL21" i="3"/>
  <c r="T91" i="3" s="1"/>
  <c r="CK21" i="3"/>
  <c r="T90" i="3" s="1"/>
  <c r="CZ20" i="3"/>
  <c r="S105" i="3" s="1"/>
  <c r="CY20" i="3"/>
  <c r="S104" i="3" s="1"/>
  <c r="CX20" i="3"/>
  <c r="S103" i="3" s="1"/>
  <c r="CW20" i="3"/>
  <c r="S102" i="3" s="1"/>
  <c r="CV20" i="3"/>
  <c r="S101" i="3" s="1"/>
  <c r="CU20" i="3"/>
  <c r="S100" i="3" s="1"/>
  <c r="CT20" i="3"/>
  <c r="S99" i="3" s="1"/>
  <c r="CS20" i="3"/>
  <c r="S98" i="3" s="1"/>
  <c r="CR20" i="3"/>
  <c r="S97" i="3" s="1"/>
  <c r="CQ20" i="3"/>
  <c r="S96" i="3" s="1"/>
  <c r="CP20" i="3"/>
  <c r="S95" i="3" s="1"/>
  <c r="CO20" i="3"/>
  <c r="S94" i="3" s="1"/>
  <c r="CN20" i="3"/>
  <c r="S93" i="3" s="1"/>
  <c r="CM20" i="3"/>
  <c r="S92" i="3" s="1"/>
  <c r="CL20" i="3"/>
  <c r="S91" i="3" s="1"/>
  <c r="CK20" i="3"/>
  <c r="S90" i="3" s="1"/>
  <c r="CY19" i="3"/>
  <c r="R104" i="3" s="1"/>
  <c r="CX19" i="3"/>
  <c r="R103" i="3" s="1"/>
  <c r="CW19" i="3"/>
  <c r="R102" i="3" s="1"/>
  <c r="CV19" i="3"/>
  <c r="R101" i="3" s="1"/>
  <c r="CU19" i="3"/>
  <c r="R100" i="3" s="1"/>
  <c r="CT19" i="3"/>
  <c r="R99" i="3" s="1"/>
  <c r="CS19" i="3"/>
  <c r="R98" i="3" s="1"/>
  <c r="CR19" i="3"/>
  <c r="R97" i="3" s="1"/>
  <c r="CQ19" i="3"/>
  <c r="R96" i="3" s="1"/>
  <c r="CP19" i="3"/>
  <c r="R95" i="3" s="1"/>
  <c r="CO19" i="3"/>
  <c r="R94" i="3" s="1"/>
  <c r="CN19" i="3"/>
  <c r="R93" i="3" s="1"/>
  <c r="CM19" i="3"/>
  <c r="R92" i="3" s="1"/>
  <c r="CL19" i="3"/>
  <c r="R91" i="3" s="1"/>
  <c r="CK19" i="3"/>
  <c r="R90" i="3" s="1"/>
  <c r="CZ18" i="3"/>
  <c r="Q105" i="3" s="1"/>
  <c r="CY18" i="3"/>
  <c r="Q104" i="3" s="1"/>
  <c r="CX18" i="3"/>
  <c r="Q103" i="3" s="1"/>
  <c r="CW18" i="3"/>
  <c r="Q102" i="3" s="1"/>
  <c r="CV18" i="3"/>
  <c r="Q101" i="3" s="1"/>
  <c r="CU18" i="3"/>
  <c r="Q100" i="3" s="1"/>
  <c r="CT18" i="3"/>
  <c r="Q99" i="3" s="1"/>
  <c r="CS18" i="3"/>
  <c r="Q98" i="3" s="1"/>
  <c r="CR18" i="3"/>
  <c r="Q97" i="3" s="1"/>
  <c r="CQ18" i="3"/>
  <c r="Q96" i="3" s="1"/>
  <c r="CP18" i="3"/>
  <c r="Q95" i="3" s="1"/>
  <c r="CO18" i="3"/>
  <c r="Q94" i="3" s="1"/>
  <c r="CN18" i="3"/>
  <c r="Q93" i="3" s="1"/>
  <c r="CM18" i="3"/>
  <c r="Q92" i="3" s="1"/>
  <c r="CL18" i="3"/>
  <c r="Q91" i="3" s="1"/>
  <c r="CK18" i="3"/>
  <c r="Q90" i="3" s="1"/>
  <c r="CZ17" i="3"/>
  <c r="P105" i="3" s="1"/>
  <c r="CY17" i="3"/>
  <c r="P104" i="3" s="1"/>
  <c r="CX17" i="3"/>
  <c r="P103" i="3" s="1"/>
  <c r="CW17" i="3"/>
  <c r="P102" i="3" s="1"/>
  <c r="CV17" i="3"/>
  <c r="P101" i="3" s="1"/>
  <c r="CU17" i="3"/>
  <c r="P100" i="3" s="1"/>
  <c r="CT17" i="3"/>
  <c r="P99" i="3" s="1"/>
  <c r="CS17" i="3"/>
  <c r="P98" i="3" s="1"/>
  <c r="CR17" i="3"/>
  <c r="P97" i="3" s="1"/>
  <c r="CQ17" i="3"/>
  <c r="P96" i="3" s="1"/>
  <c r="CP17" i="3"/>
  <c r="P95" i="3" s="1"/>
  <c r="CO17" i="3"/>
  <c r="P94" i="3" s="1"/>
  <c r="CN17" i="3"/>
  <c r="P93" i="3" s="1"/>
  <c r="CM17" i="3"/>
  <c r="P92" i="3" s="1"/>
  <c r="CL17" i="3"/>
  <c r="P91" i="3" s="1"/>
  <c r="CK17" i="3"/>
  <c r="P90" i="3" s="1"/>
  <c r="CZ16" i="3"/>
  <c r="O105" i="3" s="1"/>
  <c r="CY16" i="3"/>
  <c r="O104" i="3" s="1"/>
  <c r="CX16" i="3"/>
  <c r="O103" i="3" s="1"/>
  <c r="CW16" i="3"/>
  <c r="O102" i="3" s="1"/>
  <c r="CV16" i="3"/>
  <c r="O101" i="3" s="1"/>
  <c r="CU16" i="3"/>
  <c r="O100" i="3" s="1"/>
  <c r="CT16" i="3"/>
  <c r="O99" i="3" s="1"/>
  <c r="CS16" i="3"/>
  <c r="O98" i="3" s="1"/>
  <c r="CR16" i="3"/>
  <c r="O97" i="3" s="1"/>
  <c r="CQ16" i="3"/>
  <c r="O96" i="3" s="1"/>
  <c r="CP16" i="3"/>
  <c r="O95" i="3" s="1"/>
  <c r="CO16" i="3"/>
  <c r="O94" i="3" s="1"/>
  <c r="CM16" i="3"/>
  <c r="O92" i="3" s="1"/>
  <c r="CL16" i="3"/>
  <c r="O91" i="3" s="1"/>
  <c r="CK16" i="3"/>
  <c r="O90" i="3" s="1"/>
  <c r="CJ21" i="3"/>
  <c r="T89" i="3" s="1"/>
  <c r="CJ20" i="3"/>
  <c r="S89" i="3" s="1"/>
  <c r="CJ19" i="3"/>
  <c r="R89" i="3" s="1"/>
  <c r="CJ18" i="3"/>
  <c r="Q89" i="3" s="1"/>
  <c r="CJ17" i="3"/>
  <c r="P89" i="3" s="1"/>
  <c r="CJ16" i="3"/>
  <c r="O89" i="3" s="1"/>
  <c r="AV21" i="3"/>
  <c r="T49" i="3" s="1"/>
  <c r="AV20" i="3"/>
  <c r="S49" i="3" s="1"/>
  <c r="AV19" i="3"/>
  <c r="R49" i="3" s="1"/>
  <c r="AV18" i="3"/>
  <c r="Q49" i="3" s="1"/>
  <c r="AV17" i="3"/>
  <c r="P49" i="3" s="1"/>
  <c r="AV16" i="3"/>
  <c r="O49" i="3" s="1"/>
  <c r="AU21" i="3"/>
  <c r="T48" i="3" s="1"/>
  <c r="AU20" i="3"/>
  <c r="S48" i="3" s="1"/>
  <c r="AU19" i="3"/>
  <c r="R48" i="3" s="1"/>
  <c r="AU18" i="3"/>
  <c r="Q48" i="3" s="1"/>
  <c r="AU17" i="3"/>
  <c r="P48" i="3" s="1"/>
  <c r="AU16" i="3"/>
  <c r="O48" i="3" s="1"/>
  <c r="BO76" i="3" l="1"/>
  <c r="BQ76" i="3"/>
  <c r="BG76" i="3"/>
  <c r="CJ87" i="3"/>
  <c r="CV87" i="3"/>
  <c r="W76" i="3"/>
  <c r="AO76" i="3"/>
  <c r="AY76" i="3"/>
  <c r="CW76" i="3"/>
  <c r="CJ72" i="3"/>
  <c r="BK87" i="3"/>
  <c r="BO87" i="3"/>
  <c r="BB76" i="3"/>
  <c r="CO76" i="3"/>
  <c r="CU76" i="3"/>
  <c r="CK87" i="3"/>
  <c r="BR87" i="3"/>
  <c r="AV87" i="3"/>
  <c r="AP76" i="3"/>
  <c r="AR76" i="3"/>
  <c r="S76" i="3"/>
  <c r="R76" i="3"/>
  <c r="BM76" i="3"/>
  <c r="T76" i="3"/>
  <c r="O76" i="3"/>
  <c r="AR106" i="3"/>
  <c r="AU76" i="3"/>
  <c r="CU72" i="3"/>
  <c r="CN76" i="3"/>
  <c r="CT76" i="3"/>
  <c r="AT106" i="3"/>
  <c r="AT72" i="3" s="1"/>
  <c r="AK76" i="3"/>
  <c r="AU106" i="3"/>
  <c r="AU72" i="3" s="1"/>
  <c r="CL72" i="3"/>
  <c r="CX72" i="3"/>
  <c r="AJ106" i="3"/>
  <c r="AJ72" i="3" s="1"/>
  <c r="AV106" i="3"/>
  <c r="AV72" i="3" s="1"/>
  <c r="AM76" i="3"/>
  <c r="CJ76" i="3"/>
  <c r="CP76" i="3"/>
  <c r="CV76" i="3"/>
  <c r="CZ87" i="3"/>
  <c r="AK106" i="3"/>
  <c r="AK72" i="3" s="1"/>
  <c r="AN76" i="3"/>
  <c r="BE106" i="3"/>
  <c r="BE72" i="3" s="1"/>
  <c r="CW87" i="3"/>
  <c r="CP72" i="3"/>
  <c r="CP87" i="3"/>
  <c r="CQ72" i="3"/>
  <c r="Q76" i="3"/>
  <c r="BK76" i="3"/>
  <c r="AG76" i="3"/>
  <c r="AT76" i="3"/>
  <c r="BA76" i="3"/>
  <c r="BL76" i="3"/>
  <c r="AS76" i="3"/>
  <c r="AS106" i="3"/>
  <c r="AS72" i="3" s="1"/>
  <c r="AV76" i="3"/>
  <c r="AL76" i="3"/>
  <c r="AL106" i="3"/>
  <c r="AL72" i="3" s="1"/>
  <c r="AN106" i="3"/>
  <c r="AN72" i="3" s="1"/>
  <c r="AP106" i="3"/>
  <c r="AP72" i="3" s="1"/>
  <c r="CU87" i="3"/>
  <c r="CX87" i="3"/>
  <c r="CL87" i="3"/>
  <c r="CY87" i="3"/>
  <c r="CM87" i="3"/>
  <c r="BN87" i="3"/>
  <c r="CN87" i="3"/>
  <c r="CO87" i="3"/>
  <c r="BQ87" i="3"/>
  <c r="BV87" i="3"/>
  <c r="AS85" i="3"/>
  <c r="AU85" i="3"/>
  <c r="BM87" i="3"/>
  <c r="AS86" i="3"/>
  <c r="AU86" i="3"/>
  <c r="AY87" i="3"/>
  <c r="CQ87" i="3"/>
  <c r="CR87" i="3"/>
  <c r="CS87" i="3"/>
  <c r="BL87" i="3"/>
  <c r="BP87" i="3"/>
  <c r="BU87" i="3"/>
  <c r="CT87" i="3"/>
  <c r="AJ76" i="3"/>
  <c r="BC76" i="3"/>
  <c r="BD76" i="3"/>
  <c r="X76" i="3"/>
  <c r="BE76" i="3"/>
  <c r="BP76" i="3"/>
  <c r="Y76" i="3"/>
  <c r="Z76" i="3"/>
  <c r="BH76" i="3"/>
  <c r="CK76" i="3"/>
  <c r="CQ76" i="3"/>
  <c r="AQ76" i="3"/>
  <c r="CL76" i="3"/>
  <c r="CR76" i="3"/>
  <c r="P76" i="3"/>
  <c r="CY76" i="3"/>
  <c r="BR76" i="3"/>
  <c r="AF76" i="3"/>
  <c r="CM76" i="3"/>
  <c r="CS76" i="3"/>
  <c r="CZ76" i="3"/>
  <c r="AR71" i="3"/>
  <c r="AR72" i="3"/>
  <c r="CM72" i="3"/>
  <c r="CY72" i="3"/>
  <c r="CN72" i="3"/>
  <c r="CZ72" i="3"/>
  <c r="BN76" i="3"/>
  <c r="CR72" i="3"/>
  <c r="AM105" i="3"/>
  <c r="AM106" i="3" s="1"/>
  <c r="AM72" i="3" s="1"/>
  <c r="AO105" i="3"/>
  <c r="AO106" i="3" s="1"/>
  <c r="AO72" i="3" s="1"/>
  <c r="BH106" i="3"/>
  <c r="BH72" i="3" s="1"/>
  <c r="CS72" i="3"/>
  <c r="AF106" i="3"/>
  <c r="AF72" i="3" s="1"/>
  <c r="AQ106" i="3"/>
  <c r="AQ72" i="3" s="1"/>
  <c r="CT72" i="3"/>
  <c r="O106" i="3"/>
  <c r="O72" i="3" s="1"/>
  <c r="Q106" i="3"/>
  <c r="Q72" i="3" s="1"/>
  <c r="AG106" i="3"/>
  <c r="AG72" i="3" s="1"/>
  <c r="P106" i="3"/>
  <c r="P72" i="3" s="1"/>
  <c r="CV72" i="3"/>
  <c r="BB106" i="3"/>
  <c r="BB72" i="3" s="1"/>
  <c r="BG106" i="3"/>
  <c r="BG72" i="3" s="1"/>
  <c r="CK72" i="3"/>
  <c r="CW72" i="3"/>
  <c r="AY106" i="3"/>
  <c r="AY72" i="3" s="1"/>
  <c r="BA106" i="3"/>
  <c r="BA72" i="3" s="1"/>
  <c r="CO72" i="3"/>
  <c r="BD94" i="3"/>
  <c r="BC96" i="3"/>
  <c r="BC106" i="3" s="1"/>
  <c r="T106" i="3"/>
  <c r="T72" i="3" s="1"/>
  <c r="S106" i="3"/>
  <c r="S72" i="3" s="1"/>
  <c r="AY62" i="3"/>
  <c r="BD91" i="3"/>
  <c r="BD90" i="3"/>
  <c r="Z106" i="3"/>
  <c r="Z72" i="3" s="1"/>
  <c r="X106" i="3"/>
  <c r="X72" i="3" s="1"/>
  <c r="AC106" i="3"/>
  <c r="AC72" i="3" s="1"/>
  <c r="AA106" i="3"/>
  <c r="AA72" i="3" s="1"/>
  <c r="AA76" i="3"/>
  <c r="Y106" i="3"/>
  <c r="Y72" i="3" s="1"/>
  <c r="AB76" i="3"/>
  <c r="AC76" i="3"/>
  <c r="W106" i="3"/>
  <c r="W72" i="3" s="1"/>
  <c r="AB106" i="3"/>
  <c r="AB72" i="3" s="1"/>
  <c r="U52" i="3"/>
  <c r="AV62" i="3"/>
  <c r="AU62" i="3"/>
  <c r="AH52" i="3"/>
  <c r="AW52" i="3"/>
  <c r="AD52" i="3"/>
  <c r="BZ76" i="3"/>
  <c r="CP62" i="3"/>
  <c r="CG76" i="3"/>
  <c r="AY50" i="3"/>
  <c r="CK62" i="3"/>
  <c r="BM106" i="3"/>
  <c r="BP106" i="3"/>
  <c r="CL62" i="3"/>
  <c r="CF76" i="3"/>
  <c r="CC76" i="3"/>
  <c r="CD76" i="3"/>
  <c r="BN50" i="3"/>
  <c r="BL62" i="3"/>
  <c r="BM50" i="3"/>
  <c r="CB72" i="3"/>
  <c r="BQ50" i="3"/>
  <c r="CG72" i="3"/>
  <c r="BK106" i="3"/>
  <c r="BN106" i="3"/>
  <c r="CC106" i="3"/>
  <c r="BL106" i="3"/>
  <c r="BV106" i="3"/>
  <c r="BR106" i="3"/>
  <c r="BO106" i="3"/>
  <c r="CO62" i="3"/>
  <c r="BM62" i="3"/>
  <c r="CM62" i="3"/>
  <c r="CN62" i="3"/>
  <c r="CU62" i="3"/>
  <c r="CX62" i="3"/>
  <c r="CQ62" i="3"/>
  <c r="CR62" i="3"/>
  <c r="CZ62" i="3"/>
  <c r="BR62" i="3"/>
  <c r="CT62" i="3"/>
  <c r="CW62" i="3"/>
  <c r="BO62" i="3"/>
  <c r="CJ62" i="3"/>
  <c r="CS62" i="3"/>
  <c r="CV62" i="3"/>
  <c r="CY62" i="3"/>
  <c r="DA52" i="3"/>
  <c r="BI52" i="3"/>
  <c r="BS52" i="3"/>
  <c r="BL50" i="3"/>
  <c r="BP50" i="3"/>
  <c r="BO50" i="3"/>
  <c r="BU50" i="3"/>
  <c r="BV50" i="3"/>
  <c r="CE76" i="3"/>
  <c r="BY76" i="3"/>
  <c r="CA76" i="3"/>
  <c r="CB76" i="3"/>
  <c r="CD106" i="3"/>
  <c r="CB106" i="3"/>
  <c r="BN62" i="3"/>
  <c r="CG106" i="3"/>
  <c r="BK62" i="3"/>
  <c r="BU106" i="3"/>
  <c r="BZ106" i="3"/>
  <c r="BR50" i="3"/>
  <c r="BW52" i="3"/>
  <c r="BP62" i="3"/>
  <c r="CE106" i="3"/>
  <c r="BQ106" i="3"/>
  <c r="CH52" i="3"/>
  <c r="BV62" i="3"/>
  <c r="CA106" i="3"/>
  <c r="BK50" i="3"/>
  <c r="BQ62" i="3"/>
  <c r="BU62" i="3"/>
  <c r="CF106" i="3"/>
  <c r="BY106" i="3"/>
  <c r="CA72" i="3"/>
  <c r="CD72" i="3"/>
  <c r="BZ72" i="3"/>
  <c r="CE72" i="3"/>
  <c r="CC72" i="3"/>
  <c r="CF72" i="3"/>
  <c r="BY72" i="3"/>
  <c r="BV72" i="3"/>
  <c r="BU72" i="3"/>
  <c r="CM35" i="3"/>
  <c r="CS35" i="3"/>
  <c r="CY35" i="3"/>
  <c r="CK50" i="3"/>
  <c r="CP35" i="3"/>
  <c r="CO35" i="3"/>
  <c r="CU35" i="3"/>
  <c r="CQ35" i="3"/>
  <c r="CW35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J50" i="3"/>
  <c r="BV35" i="3"/>
  <c r="BU35" i="3"/>
  <c r="BR35" i="3"/>
  <c r="BQ35" i="3"/>
  <c r="BP35" i="3"/>
  <c r="BO35" i="3"/>
  <c r="BN35" i="3"/>
  <c r="BM35" i="3"/>
  <c r="BL35" i="3"/>
  <c r="CN35" i="3"/>
  <c r="CT35" i="3"/>
  <c r="CZ35" i="3"/>
  <c r="CV35" i="3"/>
  <c r="CR35" i="3"/>
  <c r="CX35" i="3"/>
  <c r="CJ22" i="3"/>
  <c r="BV31" i="3"/>
  <c r="BN22" i="3"/>
  <c r="CK35" i="3"/>
  <c r="CL35" i="3"/>
  <c r="BL22" i="3"/>
  <c r="BM22" i="3"/>
  <c r="BO22" i="3"/>
  <c r="BP22" i="3"/>
  <c r="BQ22" i="3"/>
  <c r="BR22" i="3"/>
  <c r="BK35" i="3"/>
  <c r="AY35" i="3"/>
  <c r="BU31" i="3"/>
  <c r="BR31" i="3"/>
  <c r="BQ31" i="3"/>
  <c r="BP31" i="3"/>
  <c r="BO31" i="3"/>
  <c r="BN31" i="3"/>
  <c r="BM31" i="3"/>
  <c r="BL31" i="3"/>
  <c r="BK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BV22" i="3"/>
  <c r="BU22" i="3"/>
  <c r="BK22" i="3"/>
  <c r="CP22" i="3"/>
  <c r="CL22" i="3"/>
  <c r="CO22" i="3"/>
  <c r="CQ22" i="3"/>
  <c r="CR22" i="3"/>
  <c r="CS22" i="3"/>
  <c r="CT22" i="3"/>
  <c r="CU22" i="3"/>
  <c r="CV22" i="3"/>
  <c r="CK22" i="3"/>
  <c r="CW22" i="3"/>
  <c r="CX22" i="3"/>
  <c r="CM22" i="3"/>
  <c r="CY22" i="3"/>
  <c r="CN22" i="3"/>
  <c r="CZ22" i="3"/>
  <c r="M49" i="3"/>
  <c r="M48" i="3"/>
  <c r="M47" i="3"/>
  <c r="M46" i="3"/>
  <c r="BW87" i="3" l="1"/>
  <c r="AH72" i="3"/>
  <c r="U76" i="3"/>
  <c r="BI76" i="3"/>
  <c r="AH76" i="3"/>
  <c r="AW76" i="3"/>
  <c r="BS87" i="3"/>
  <c r="DA72" i="3"/>
  <c r="DA87" i="3"/>
  <c r="AW72" i="3"/>
  <c r="BS76" i="3"/>
  <c r="DA76" i="3"/>
  <c r="AD72" i="3"/>
  <c r="AU87" i="3"/>
  <c r="AD76" i="3"/>
  <c r="AW106" i="3"/>
  <c r="BD106" i="3"/>
  <c r="BD72" i="3" s="1"/>
  <c r="AH106" i="3"/>
  <c r="AD106" i="3"/>
  <c r="BC72" i="3"/>
  <c r="BW31" i="3"/>
  <c r="CH76" i="3"/>
  <c r="BS106" i="3"/>
  <c r="BW106" i="3"/>
  <c r="DA62" i="3"/>
  <c r="BS62" i="3"/>
  <c r="BW62" i="3"/>
  <c r="BS50" i="3"/>
  <c r="BW50" i="3"/>
  <c r="BS31" i="3"/>
  <c r="BW35" i="3"/>
  <c r="CH106" i="3"/>
  <c r="BS35" i="3"/>
  <c r="DA50" i="3"/>
  <c r="BS22" i="3"/>
  <c r="BW22" i="3"/>
  <c r="DA22" i="3"/>
  <c r="CH72" i="3"/>
  <c r="BW72" i="3"/>
  <c r="BI72" i="3" l="1"/>
  <c r="BI106" i="3"/>
  <c r="XCH64" i="3"/>
  <c r="M52" i="3"/>
  <c r="CG61" i="3"/>
  <c r="BH86" i="3" s="1"/>
  <c r="CG60" i="3"/>
  <c r="BG86" i="3" s="1"/>
  <c r="CG58" i="3"/>
  <c r="BE86" i="3" s="1"/>
  <c r="CG57" i="3"/>
  <c r="BD86" i="3" s="1"/>
  <c r="CF61" i="3"/>
  <c r="BH85" i="3" s="1"/>
  <c r="CF60" i="3"/>
  <c r="BG85" i="3" s="1"/>
  <c r="CF58" i="3"/>
  <c r="BE85" i="3" s="1"/>
  <c r="CF57" i="3"/>
  <c r="BD85" i="3" s="1"/>
  <c r="CE61" i="3"/>
  <c r="BH84" i="3" s="1"/>
  <c r="CE60" i="3"/>
  <c r="BG84" i="3" s="1"/>
  <c r="CE58" i="3"/>
  <c r="BE84" i="3" s="1"/>
  <c r="CE57" i="3"/>
  <c r="BD84" i="3" s="1"/>
  <c r="CD61" i="3"/>
  <c r="BH83" i="3" s="1"/>
  <c r="CD60" i="3"/>
  <c r="BG83" i="3" s="1"/>
  <c r="CD58" i="3"/>
  <c r="BE83" i="3" s="1"/>
  <c r="CD57" i="3"/>
  <c r="BD83" i="3" s="1"/>
  <c r="CC61" i="3"/>
  <c r="BH82" i="3" s="1"/>
  <c r="CC60" i="3"/>
  <c r="BG82" i="3" s="1"/>
  <c r="CC58" i="3"/>
  <c r="BE82" i="3" s="1"/>
  <c r="CC57" i="3"/>
  <c r="BD82" i="3" s="1"/>
  <c r="CB61" i="3"/>
  <c r="BH81" i="3" s="1"/>
  <c r="CB60" i="3"/>
  <c r="BG81" i="3" s="1"/>
  <c r="CB58" i="3"/>
  <c r="BE81" i="3" s="1"/>
  <c r="CB57" i="3"/>
  <c r="BD81" i="3" s="1"/>
  <c r="CA61" i="3"/>
  <c r="BH80" i="3" s="1"/>
  <c r="CA60" i="3"/>
  <c r="BG80" i="3" s="1"/>
  <c r="CA58" i="3"/>
  <c r="BE80" i="3" s="1"/>
  <c r="CA57" i="3"/>
  <c r="BD80" i="3" s="1"/>
  <c r="BZ61" i="3"/>
  <c r="BH79" i="3" s="1"/>
  <c r="BZ60" i="3"/>
  <c r="BG79" i="3" s="1"/>
  <c r="BZ58" i="3"/>
  <c r="BE79" i="3" s="1"/>
  <c r="BY61" i="3"/>
  <c r="BH78" i="3" s="1"/>
  <c r="BY60" i="3"/>
  <c r="BG78" i="3" s="1"/>
  <c r="BY58" i="3"/>
  <c r="BE78" i="3" s="1"/>
  <c r="BY57" i="3"/>
  <c r="BD78" i="3" s="1"/>
  <c r="BY56" i="3"/>
  <c r="BC78" i="3" s="1"/>
  <c r="BY55" i="3"/>
  <c r="BB78" i="3" s="1"/>
  <c r="BZ57" i="3"/>
  <c r="BD79" i="3" s="1"/>
  <c r="CG56" i="3"/>
  <c r="BC86" i="3" s="1"/>
  <c r="CF56" i="3"/>
  <c r="BC85" i="3" s="1"/>
  <c r="CE56" i="3"/>
  <c r="BC84" i="3" s="1"/>
  <c r="CD56" i="3"/>
  <c r="BC83" i="3" s="1"/>
  <c r="CC56" i="3"/>
  <c r="BC82" i="3" s="1"/>
  <c r="CB56" i="3"/>
  <c r="BC81" i="3" s="1"/>
  <c r="CA56" i="3"/>
  <c r="BC80" i="3" s="1"/>
  <c r="BZ56" i="3"/>
  <c r="BC79" i="3" s="1"/>
  <c r="CG55" i="3"/>
  <c r="BB86" i="3" s="1"/>
  <c r="CF55" i="3"/>
  <c r="BB85" i="3" s="1"/>
  <c r="CE55" i="3"/>
  <c r="BB84" i="3" s="1"/>
  <c r="CD55" i="3"/>
  <c r="BB83" i="3" s="1"/>
  <c r="CC55" i="3"/>
  <c r="BB82" i="3" s="1"/>
  <c r="CB55" i="3"/>
  <c r="BB81" i="3" s="1"/>
  <c r="CA55" i="3"/>
  <c r="BB80" i="3" s="1"/>
  <c r="BZ55" i="3"/>
  <c r="BB79" i="3" s="1"/>
  <c r="CG54" i="3"/>
  <c r="BA86" i="3" s="1"/>
  <c r="CF54" i="3"/>
  <c r="BA85" i="3" s="1"/>
  <c r="CE54" i="3"/>
  <c r="BA84" i="3" s="1"/>
  <c r="CD54" i="3"/>
  <c r="BA83" i="3" s="1"/>
  <c r="CC54" i="3"/>
  <c r="BA82" i="3" s="1"/>
  <c r="CB54" i="3"/>
  <c r="BA81" i="3" s="1"/>
  <c r="CA54" i="3"/>
  <c r="BA80" i="3" s="1"/>
  <c r="BZ54" i="3"/>
  <c r="BA79" i="3" s="1"/>
  <c r="BY54" i="3"/>
  <c r="BA78" i="3" s="1"/>
  <c r="CG44" i="3"/>
  <c r="AQ86" i="3" s="1"/>
  <c r="CF44" i="3"/>
  <c r="AQ85" i="3" s="1"/>
  <c r="CE44" i="3"/>
  <c r="AQ84" i="3" s="1"/>
  <c r="CD44" i="3"/>
  <c r="AQ83" i="3" s="1"/>
  <c r="CC44" i="3"/>
  <c r="AQ82" i="3" s="1"/>
  <c r="CB44" i="3"/>
  <c r="AQ81" i="3" s="1"/>
  <c r="CA44" i="3"/>
  <c r="AQ80" i="3" s="1"/>
  <c r="BZ44" i="3"/>
  <c r="AQ79" i="3" s="1"/>
  <c r="BY44" i="3"/>
  <c r="AQ78" i="3" s="1"/>
  <c r="CG45" i="3"/>
  <c r="AR86" i="3" s="1"/>
  <c r="CF45" i="3"/>
  <c r="AR85" i="3" s="1"/>
  <c r="CE45" i="3"/>
  <c r="AR84" i="3" s="1"/>
  <c r="CD45" i="3"/>
  <c r="AR83" i="3" s="1"/>
  <c r="CC45" i="3"/>
  <c r="AR82" i="3" s="1"/>
  <c r="CB45" i="3"/>
  <c r="AR81" i="3" s="1"/>
  <c r="CA45" i="3"/>
  <c r="AR80" i="3" s="1"/>
  <c r="BZ45" i="3"/>
  <c r="AR79" i="3" s="1"/>
  <c r="BY45" i="3"/>
  <c r="AR78" i="3" s="1"/>
  <c r="CG46" i="3"/>
  <c r="CF46" i="3"/>
  <c r="CE46" i="3"/>
  <c r="AS84" i="3" s="1"/>
  <c r="CD46" i="3"/>
  <c r="AS83" i="3" s="1"/>
  <c r="CC46" i="3"/>
  <c r="AS82" i="3" s="1"/>
  <c r="CB46" i="3"/>
  <c r="AS81" i="3" s="1"/>
  <c r="CA46" i="3"/>
  <c r="AS80" i="3" s="1"/>
  <c r="BZ46" i="3"/>
  <c r="AS79" i="3" s="1"/>
  <c r="BY46" i="3"/>
  <c r="AS78" i="3" s="1"/>
  <c r="CG47" i="3"/>
  <c r="AT86" i="3" s="1"/>
  <c r="CF47" i="3"/>
  <c r="AT85" i="3" s="1"/>
  <c r="CE47" i="3"/>
  <c r="AT84" i="3" s="1"/>
  <c r="CD47" i="3"/>
  <c r="AT83" i="3" s="1"/>
  <c r="CC47" i="3"/>
  <c r="AT82" i="3" s="1"/>
  <c r="CB47" i="3"/>
  <c r="AT81" i="3" s="1"/>
  <c r="CA47" i="3"/>
  <c r="AT80" i="3" s="1"/>
  <c r="BZ47" i="3"/>
  <c r="AT79" i="3" s="1"/>
  <c r="BY47" i="3"/>
  <c r="AT78" i="3" s="1"/>
  <c r="CG43" i="3"/>
  <c r="AP86" i="3" s="1"/>
  <c r="CF43" i="3"/>
  <c r="AP85" i="3" s="1"/>
  <c r="CE43" i="3"/>
  <c r="AP84" i="3" s="1"/>
  <c r="CD43" i="3"/>
  <c r="AP83" i="3" s="1"/>
  <c r="CC43" i="3"/>
  <c r="AP82" i="3" s="1"/>
  <c r="CB43" i="3"/>
  <c r="AP81" i="3" s="1"/>
  <c r="CA43" i="3"/>
  <c r="AP80" i="3" s="1"/>
  <c r="BZ43" i="3"/>
  <c r="AP79" i="3" s="1"/>
  <c r="BY43" i="3"/>
  <c r="AP78" i="3" s="1"/>
  <c r="CG42" i="3"/>
  <c r="AO86" i="3" s="1"/>
  <c r="CG41" i="3"/>
  <c r="AN86" i="3" s="1"/>
  <c r="CG40" i="3"/>
  <c r="AM86" i="3" s="1"/>
  <c r="CG39" i="3"/>
  <c r="AL86" i="3" s="1"/>
  <c r="CG38" i="3"/>
  <c r="AK86" i="3" s="1"/>
  <c r="CG37" i="3"/>
  <c r="AJ86" i="3" s="1"/>
  <c r="CF42" i="3"/>
  <c r="AO85" i="3" s="1"/>
  <c r="CF41" i="3"/>
  <c r="AN85" i="3" s="1"/>
  <c r="CF40" i="3"/>
  <c r="AM85" i="3" s="1"/>
  <c r="CF39" i="3"/>
  <c r="AL85" i="3" s="1"/>
  <c r="CF38" i="3"/>
  <c r="AK85" i="3" s="1"/>
  <c r="CF37" i="3"/>
  <c r="CE42" i="3"/>
  <c r="AO84" i="3" s="1"/>
  <c r="CE41" i="3"/>
  <c r="AN84" i="3" s="1"/>
  <c r="CE40" i="3"/>
  <c r="AM84" i="3" s="1"/>
  <c r="CE39" i="3"/>
  <c r="AL84" i="3" s="1"/>
  <c r="CE38" i="3"/>
  <c r="AK84" i="3" s="1"/>
  <c r="CE37" i="3"/>
  <c r="AJ84" i="3" s="1"/>
  <c r="CD42" i="3"/>
  <c r="AO83" i="3" s="1"/>
  <c r="CD41" i="3"/>
  <c r="AN83" i="3" s="1"/>
  <c r="CD40" i="3"/>
  <c r="AM83" i="3" s="1"/>
  <c r="CD39" i="3"/>
  <c r="AL83" i="3" s="1"/>
  <c r="CD38" i="3"/>
  <c r="AK83" i="3" s="1"/>
  <c r="CD37" i="3"/>
  <c r="AJ83" i="3" s="1"/>
  <c r="CC42" i="3"/>
  <c r="AO82" i="3" s="1"/>
  <c r="CC41" i="3"/>
  <c r="AN82" i="3" s="1"/>
  <c r="CC40" i="3"/>
  <c r="AM82" i="3" s="1"/>
  <c r="CC39" i="3"/>
  <c r="AL82" i="3" s="1"/>
  <c r="CC38" i="3"/>
  <c r="AK82" i="3" s="1"/>
  <c r="CC37" i="3"/>
  <c r="AJ82" i="3" s="1"/>
  <c r="CB42" i="3"/>
  <c r="AO81" i="3" s="1"/>
  <c r="CB41" i="3"/>
  <c r="AN81" i="3" s="1"/>
  <c r="CB40" i="3"/>
  <c r="AM81" i="3" s="1"/>
  <c r="CB39" i="3"/>
  <c r="AL81" i="3" s="1"/>
  <c r="CB38" i="3"/>
  <c r="AK81" i="3" s="1"/>
  <c r="CB37" i="3"/>
  <c r="AJ81" i="3" s="1"/>
  <c r="CA42" i="3"/>
  <c r="AO80" i="3" s="1"/>
  <c r="CA41" i="3"/>
  <c r="AN80" i="3" s="1"/>
  <c r="CA40" i="3"/>
  <c r="AM80" i="3" s="1"/>
  <c r="CA39" i="3"/>
  <c r="AL80" i="3" s="1"/>
  <c r="CA38" i="3"/>
  <c r="AK80" i="3" s="1"/>
  <c r="CA37" i="3"/>
  <c r="AJ80" i="3" s="1"/>
  <c r="BZ42" i="3"/>
  <c r="AO79" i="3" s="1"/>
  <c r="BZ41" i="3"/>
  <c r="AN79" i="3" s="1"/>
  <c r="BZ40" i="3"/>
  <c r="AM79" i="3" s="1"/>
  <c r="BZ39" i="3"/>
  <c r="AL79" i="3" s="1"/>
  <c r="BZ38" i="3"/>
  <c r="AK79" i="3" s="1"/>
  <c r="BZ37" i="3"/>
  <c r="AJ79" i="3" s="1"/>
  <c r="BY42" i="3"/>
  <c r="AO78" i="3" s="1"/>
  <c r="BY41" i="3"/>
  <c r="AN78" i="3" s="1"/>
  <c r="BY40" i="3"/>
  <c r="AM78" i="3" s="1"/>
  <c r="BY39" i="3"/>
  <c r="AL78" i="3" s="1"/>
  <c r="BY38" i="3"/>
  <c r="AK78" i="3" s="1"/>
  <c r="BY37" i="3"/>
  <c r="AJ78" i="3" s="1"/>
  <c r="BH47" i="3"/>
  <c r="AT61" i="3" s="1"/>
  <c r="BG47" i="3"/>
  <c r="AT60" i="3" s="1"/>
  <c r="BE47" i="3"/>
  <c r="AT58" i="3" s="1"/>
  <c r="BD47" i="3"/>
  <c r="AT57" i="3" s="1"/>
  <c r="BC47" i="3"/>
  <c r="AT56" i="3" s="1"/>
  <c r="BB47" i="3"/>
  <c r="AT55" i="3" s="1"/>
  <c r="BA47" i="3"/>
  <c r="AT54" i="3" s="1"/>
  <c r="BH46" i="3"/>
  <c r="AS61" i="3" s="1"/>
  <c r="BG46" i="3"/>
  <c r="AS60" i="3" s="1"/>
  <c r="BE46" i="3"/>
  <c r="AS58" i="3" s="1"/>
  <c r="BD46" i="3"/>
  <c r="AS57" i="3" s="1"/>
  <c r="BC46" i="3"/>
  <c r="AS56" i="3" s="1"/>
  <c r="BB46" i="3"/>
  <c r="AS55" i="3" s="1"/>
  <c r="BA46" i="3"/>
  <c r="AS54" i="3" s="1"/>
  <c r="BH45" i="3"/>
  <c r="AR61" i="3" s="1"/>
  <c r="BG45" i="3"/>
  <c r="AR60" i="3" s="1"/>
  <c r="BE45" i="3"/>
  <c r="AR58" i="3" s="1"/>
  <c r="BD45" i="3"/>
  <c r="AR57" i="3" s="1"/>
  <c r="BC45" i="3"/>
  <c r="AR56" i="3" s="1"/>
  <c r="BB45" i="3"/>
  <c r="AR55" i="3" s="1"/>
  <c r="BA45" i="3"/>
  <c r="AR54" i="3" s="1"/>
  <c r="BH44" i="3"/>
  <c r="AQ61" i="3" s="1"/>
  <c r="BG44" i="3"/>
  <c r="AQ60" i="3" s="1"/>
  <c r="BE44" i="3"/>
  <c r="AQ58" i="3" s="1"/>
  <c r="BD44" i="3"/>
  <c r="AQ57" i="3" s="1"/>
  <c r="BC44" i="3"/>
  <c r="AQ56" i="3" s="1"/>
  <c r="BB44" i="3"/>
  <c r="AQ55" i="3" s="1"/>
  <c r="BA44" i="3"/>
  <c r="AQ54" i="3" s="1"/>
  <c r="BH43" i="3"/>
  <c r="AP61" i="3" s="1"/>
  <c r="BG43" i="3"/>
  <c r="AP60" i="3" s="1"/>
  <c r="BE43" i="3"/>
  <c r="AP58" i="3" s="1"/>
  <c r="BD43" i="3"/>
  <c r="AP57" i="3" s="1"/>
  <c r="BC43" i="3"/>
  <c r="AP56" i="3" s="1"/>
  <c r="BB43" i="3"/>
  <c r="AP55" i="3" s="1"/>
  <c r="BA43" i="3"/>
  <c r="AP54" i="3" s="1"/>
  <c r="BH42" i="3"/>
  <c r="AO61" i="3" s="1"/>
  <c r="BG42" i="3"/>
  <c r="AO60" i="3" s="1"/>
  <c r="BE42" i="3"/>
  <c r="AO58" i="3" s="1"/>
  <c r="BD42" i="3"/>
  <c r="AO57" i="3" s="1"/>
  <c r="BC42" i="3"/>
  <c r="AO56" i="3" s="1"/>
  <c r="BB42" i="3"/>
  <c r="AO55" i="3" s="1"/>
  <c r="BA42" i="3"/>
  <c r="AO54" i="3" s="1"/>
  <c r="BH41" i="3"/>
  <c r="AN61" i="3" s="1"/>
  <c r="BG41" i="3"/>
  <c r="AN60" i="3" s="1"/>
  <c r="BE41" i="3"/>
  <c r="AN58" i="3" s="1"/>
  <c r="BD41" i="3"/>
  <c r="AN57" i="3" s="1"/>
  <c r="BC41" i="3"/>
  <c r="AN56" i="3" s="1"/>
  <c r="BB41" i="3"/>
  <c r="AN55" i="3" s="1"/>
  <c r="BA41" i="3"/>
  <c r="AN54" i="3" s="1"/>
  <c r="BH40" i="3"/>
  <c r="AM61" i="3" s="1"/>
  <c r="BG40" i="3"/>
  <c r="AM60" i="3" s="1"/>
  <c r="BE40" i="3"/>
  <c r="AM58" i="3" s="1"/>
  <c r="BD40" i="3"/>
  <c r="AM57" i="3" s="1"/>
  <c r="BC40" i="3"/>
  <c r="AM56" i="3" s="1"/>
  <c r="BB40" i="3"/>
  <c r="AM55" i="3" s="1"/>
  <c r="BA40" i="3"/>
  <c r="AM54" i="3" s="1"/>
  <c r="BH39" i="3"/>
  <c r="AL61" i="3" s="1"/>
  <c r="BG39" i="3"/>
  <c r="AL60" i="3" s="1"/>
  <c r="BE39" i="3"/>
  <c r="AL58" i="3" s="1"/>
  <c r="BD39" i="3"/>
  <c r="AL57" i="3" s="1"/>
  <c r="BC39" i="3"/>
  <c r="AL56" i="3" s="1"/>
  <c r="BB39" i="3"/>
  <c r="AL55" i="3" s="1"/>
  <c r="BA39" i="3"/>
  <c r="AL54" i="3" s="1"/>
  <c r="BH38" i="3"/>
  <c r="AK61" i="3" s="1"/>
  <c r="BG38" i="3"/>
  <c r="AK60" i="3" s="1"/>
  <c r="BE38" i="3"/>
  <c r="AK58" i="3" s="1"/>
  <c r="BD38" i="3"/>
  <c r="AK57" i="3" s="1"/>
  <c r="BC38" i="3"/>
  <c r="AK56" i="3" s="1"/>
  <c r="BB38" i="3"/>
  <c r="AK55" i="3" s="1"/>
  <c r="BA38" i="3"/>
  <c r="AK54" i="3" s="1"/>
  <c r="BH37" i="3"/>
  <c r="AJ61" i="3" s="1"/>
  <c r="BG37" i="3"/>
  <c r="AJ60" i="3" s="1"/>
  <c r="BE37" i="3"/>
  <c r="AJ58" i="3" s="1"/>
  <c r="BD37" i="3"/>
  <c r="AJ57" i="3" s="1"/>
  <c r="BC37" i="3"/>
  <c r="AJ56" i="3" s="1"/>
  <c r="BB37" i="3"/>
  <c r="AJ55" i="3" s="1"/>
  <c r="BA37" i="3"/>
  <c r="AJ54" i="3" s="1"/>
  <c r="M61" i="3"/>
  <c r="M60" i="3"/>
  <c r="M58" i="3"/>
  <c r="M57" i="3"/>
  <c r="M56" i="3"/>
  <c r="M55" i="3"/>
  <c r="M54" i="3"/>
  <c r="CG34" i="3"/>
  <c r="AG86" i="3" s="1"/>
  <c r="CF34" i="3"/>
  <c r="AG85" i="3" s="1"/>
  <c r="CE34" i="3"/>
  <c r="AG84" i="3" s="1"/>
  <c r="CD34" i="3"/>
  <c r="AG83" i="3" s="1"/>
  <c r="CC34" i="3"/>
  <c r="AG82" i="3" s="1"/>
  <c r="CB34" i="3"/>
  <c r="AG81" i="3" s="1"/>
  <c r="CA34" i="3"/>
  <c r="AG80" i="3" s="1"/>
  <c r="BZ34" i="3"/>
  <c r="AG79" i="3" s="1"/>
  <c r="BY34" i="3"/>
  <c r="AG78" i="3" s="1"/>
  <c r="CG33" i="3"/>
  <c r="AF86" i="3" s="1"/>
  <c r="CF33" i="3"/>
  <c r="AF85" i="3" s="1"/>
  <c r="CE33" i="3"/>
  <c r="AF84" i="3" s="1"/>
  <c r="CD33" i="3"/>
  <c r="AF83" i="3" s="1"/>
  <c r="CC33" i="3"/>
  <c r="AF82" i="3" s="1"/>
  <c r="CB33" i="3"/>
  <c r="AF81" i="3" s="1"/>
  <c r="CA33" i="3"/>
  <c r="AF80" i="3" s="1"/>
  <c r="BZ33" i="3"/>
  <c r="AF79" i="3" s="1"/>
  <c r="BY33" i="3"/>
  <c r="AF78" i="3" s="1"/>
  <c r="BC34" i="3"/>
  <c r="AG56" i="3" s="1"/>
  <c r="BC33" i="3"/>
  <c r="AF56" i="3" s="1"/>
  <c r="BH34" i="3"/>
  <c r="AG61" i="3" s="1"/>
  <c r="BG34" i="3"/>
  <c r="AG60" i="3" s="1"/>
  <c r="BF34" i="3"/>
  <c r="AG59" i="3" s="1"/>
  <c r="BE34" i="3"/>
  <c r="AG58" i="3" s="1"/>
  <c r="BD34" i="3"/>
  <c r="AG57" i="3" s="1"/>
  <c r="BB34" i="3"/>
  <c r="AG55" i="3" s="1"/>
  <c r="BA34" i="3"/>
  <c r="AG54" i="3" s="1"/>
  <c r="BH33" i="3"/>
  <c r="AF61" i="3" s="1"/>
  <c r="BG33" i="3"/>
  <c r="AF60" i="3" s="1"/>
  <c r="BF33" i="3"/>
  <c r="AF59" i="3" s="1"/>
  <c r="BE33" i="3"/>
  <c r="AF58" i="3" s="1"/>
  <c r="BD33" i="3"/>
  <c r="AF57" i="3" s="1"/>
  <c r="BB33" i="3"/>
  <c r="AF55" i="3" s="1"/>
  <c r="BA33" i="3"/>
  <c r="AF54" i="3" s="1"/>
  <c r="CG30" i="3"/>
  <c r="AC86" i="3" s="1"/>
  <c r="CF30" i="3"/>
  <c r="AC85" i="3" s="1"/>
  <c r="CE30" i="3"/>
  <c r="AC84" i="3" s="1"/>
  <c r="CD30" i="3"/>
  <c r="AC83" i="3" s="1"/>
  <c r="CC30" i="3"/>
  <c r="AC82" i="3" s="1"/>
  <c r="CB30" i="3"/>
  <c r="AC81" i="3" s="1"/>
  <c r="CA30" i="3"/>
  <c r="AC80" i="3" s="1"/>
  <c r="BY30" i="3"/>
  <c r="AC78" i="3" s="1"/>
  <c r="CG29" i="3"/>
  <c r="AB86" i="3" s="1"/>
  <c r="CF29" i="3"/>
  <c r="AB85" i="3" s="1"/>
  <c r="CE29" i="3"/>
  <c r="AB84" i="3" s="1"/>
  <c r="CD29" i="3"/>
  <c r="AB83" i="3" s="1"/>
  <c r="CC29" i="3"/>
  <c r="AB82" i="3" s="1"/>
  <c r="CB29" i="3"/>
  <c r="AB81" i="3" s="1"/>
  <c r="CA29" i="3"/>
  <c r="AB80" i="3" s="1"/>
  <c r="BZ29" i="3"/>
  <c r="AB79" i="3" s="1"/>
  <c r="BY29" i="3"/>
  <c r="AB78" i="3" s="1"/>
  <c r="CG28" i="3"/>
  <c r="AA86" i="3" s="1"/>
  <c r="CF28" i="3"/>
  <c r="AA85" i="3" s="1"/>
  <c r="CE28" i="3"/>
  <c r="AA84" i="3" s="1"/>
  <c r="CD28" i="3"/>
  <c r="AA83" i="3" s="1"/>
  <c r="CC28" i="3"/>
  <c r="AA82" i="3" s="1"/>
  <c r="CB28" i="3"/>
  <c r="AA81" i="3" s="1"/>
  <c r="CA28" i="3"/>
  <c r="AA80" i="3" s="1"/>
  <c r="BZ28" i="3"/>
  <c r="AA79" i="3" s="1"/>
  <c r="BY28" i="3"/>
  <c r="AA78" i="3" s="1"/>
  <c r="CG27" i="3"/>
  <c r="Z86" i="3" s="1"/>
  <c r="CF27" i="3"/>
  <c r="Z85" i="3" s="1"/>
  <c r="CE27" i="3"/>
  <c r="Z84" i="3" s="1"/>
  <c r="CD27" i="3"/>
  <c r="Z83" i="3" s="1"/>
  <c r="CC27" i="3"/>
  <c r="Z82" i="3" s="1"/>
  <c r="CB27" i="3"/>
  <c r="Z81" i="3" s="1"/>
  <c r="CA27" i="3"/>
  <c r="Z80" i="3" s="1"/>
  <c r="BZ27" i="3"/>
  <c r="Z79" i="3" s="1"/>
  <c r="CG26" i="3"/>
  <c r="Y86" i="3" s="1"/>
  <c r="CF26" i="3"/>
  <c r="Y85" i="3" s="1"/>
  <c r="CE26" i="3"/>
  <c r="Y84" i="3" s="1"/>
  <c r="CD26" i="3"/>
  <c r="Y83" i="3" s="1"/>
  <c r="CC26" i="3"/>
  <c r="Y82" i="3" s="1"/>
  <c r="CB26" i="3"/>
  <c r="Y81" i="3" s="1"/>
  <c r="CA26" i="3"/>
  <c r="Y80" i="3" s="1"/>
  <c r="BZ26" i="3"/>
  <c r="Y79" i="3" s="1"/>
  <c r="BY26" i="3"/>
  <c r="Y78" i="3" s="1"/>
  <c r="CG25" i="3"/>
  <c r="X86" i="3" s="1"/>
  <c r="CF25" i="3"/>
  <c r="X85" i="3" s="1"/>
  <c r="CE25" i="3"/>
  <c r="X84" i="3" s="1"/>
  <c r="CD25" i="3"/>
  <c r="X83" i="3" s="1"/>
  <c r="CC25" i="3"/>
  <c r="X82" i="3" s="1"/>
  <c r="CB25" i="3"/>
  <c r="X81" i="3" s="1"/>
  <c r="CA25" i="3"/>
  <c r="X80" i="3" s="1"/>
  <c r="BZ25" i="3"/>
  <c r="X79" i="3" s="1"/>
  <c r="BY25" i="3"/>
  <c r="X78" i="3" s="1"/>
  <c r="CG24" i="3"/>
  <c r="W86" i="3" s="1"/>
  <c r="CF24" i="3"/>
  <c r="W85" i="3" s="1"/>
  <c r="CE24" i="3"/>
  <c r="W84" i="3" s="1"/>
  <c r="CD24" i="3"/>
  <c r="W83" i="3" s="1"/>
  <c r="CC24" i="3"/>
  <c r="W82" i="3" s="1"/>
  <c r="CB24" i="3"/>
  <c r="W81" i="3" s="1"/>
  <c r="CA24" i="3"/>
  <c r="W80" i="3" s="1"/>
  <c r="BZ24" i="3"/>
  <c r="W79" i="3" s="1"/>
  <c r="BY24" i="3"/>
  <c r="W78" i="3" s="1"/>
  <c r="AT34" i="3"/>
  <c r="AG47" i="3" s="1"/>
  <c r="AS34" i="3"/>
  <c r="AG46" i="3" s="1"/>
  <c r="AR34" i="3"/>
  <c r="AG45" i="3" s="1"/>
  <c r="AQ34" i="3"/>
  <c r="AG44" i="3" s="1"/>
  <c r="AP34" i="3"/>
  <c r="AG43" i="3" s="1"/>
  <c r="AO34" i="3"/>
  <c r="AG42" i="3" s="1"/>
  <c r="AN34" i="3"/>
  <c r="AG41" i="3" s="1"/>
  <c r="AM34" i="3"/>
  <c r="AG40" i="3" s="1"/>
  <c r="AL34" i="3"/>
  <c r="AG39" i="3" s="1"/>
  <c r="AK34" i="3"/>
  <c r="AG38" i="3" s="1"/>
  <c r="AJ34" i="3"/>
  <c r="AG37" i="3" s="1"/>
  <c r="AT33" i="3"/>
  <c r="AF47" i="3" s="1"/>
  <c r="AS33" i="3"/>
  <c r="AF46" i="3" s="1"/>
  <c r="AR33" i="3"/>
  <c r="AF45" i="3" s="1"/>
  <c r="AQ33" i="3"/>
  <c r="AF44" i="3" s="1"/>
  <c r="AP33" i="3"/>
  <c r="AF43" i="3" s="1"/>
  <c r="AO33" i="3"/>
  <c r="AF42" i="3" s="1"/>
  <c r="AN33" i="3"/>
  <c r="AF41" i="3" s="1"/>
  <c r="AM33" i="3"/>
  <c r="AF40" i="3" s="1"/>
  <c r="AL33" i="3"/>
  <c r="AF39" i="3" s="1"/>
  <c r="AK33" i="3"/>
  <c r="AF38" i="3" s="1"/>
  <c r="AJ33" i="3"/>
  <c r="AF37" i="3" s="1"/>
  <c r="M45" i="3"/>
  <c r="M44" i="3"/>
  <c r="M43" i="3"/>
  <c r="M42" i="3"/>
  <c r="M41" i="3"/>
  <c r="M40" i="3"/>
  <c r="M39" i="3"/>
  <c r="M38" i="3"/>
  <c r="M37" i="3"/>
  <c r="M34" i="3"/>
  <c r="M33" i="3"/>
  <c r="M30" i="3"/>
  <c r="M29" i="3"/>
  <c r="M28" i="3"/>
  <c r="M27" i="3"/>
  <c r="M26" i="3"/>
  <c r="M25" i="3"/>
  <c r="M24" i="3"/>
  <c r="BH30" i="3"/>
  <c r="AC61" i="3" s="1"/>
  <c r="BG30" i="3"/>
  <c r="AC60" i="3" s="1"/>
  <c r="BE30" i="3"/>
  <c r="AC58" i="3" s="1"/>
  <c r="BD30" i="3"/>
  <c r="AC57" i="3" s="1"/>
  <c r="BC30" i="3"/>
  <c r="AC56" i="3" s="1"/>
  <c r="BB30" i="3"/>
  <c r="AC55" i="3" s="1"/>
  <c r="BA30" i="3"/>
  <c r="AC54" i="3" s="1"/>
  <c r="BH29" i="3"/>
  <c r="AB61" i="3" s="1"/>
  <c r="BG29" i="3"/>
  <c r="AB60" i="3" s="1"/>
  <c r="BE29" i="3"/>
  <c r="AB58" i="3" s="1"/>
  <c r="BD29" i="3"/>
  <c r="AB57" i="3" s="1"/>
  <c r="BC29" i="3"/>
  <c r="AB56" i="3" s="1"/>
  <c r="BB29" i="3"/>
  <c r="AB55" i="3" s="1"/>
  <c r="BA29" i="3"/>
  <c r="AB54" i="3" s="1"/>
  <c r="BH28" i="3"/>
  <c r="AA61" i="3" s="1"/>
  <c r="BG28" i="3"/>
  <c r="AA60" i="3" s="1"/>
  <c r="BE28" i="3"/>
  <c r="AA58" i="3" s="1"/>
  <c r="BD28" i="3"/>
  <c r="AA57" i="3" s="1"/>
  <c r="BC28" i="3"/>
  <c r="AA56" i="3" s="1"/>
  <c r="BB28" i="3"/>
  <c r="AA55" i="3" s="1"/>
  <c r="BA28" i="3"/>
  <c r="AA54" i="3" s="1"/>
  <c r="BH27" i="3"/>
  <c r="Z61" i="3" s="1"/>
  <c r="BG27" i="3"/>
  <c r="Z60" i="3" s="1"/>
  <c r="BE27" i="3"/>
  <c r="Z58" i="3" s="1"/>
  <c r="BD27" i="3"/>
  <c r="Z57" i="3" s="1"/>
  <c r="BC27" i="3"/>
  <c r="Z56" i="3" s="1"/>
  <c r="BB27" i="3"/>
  <c r="Z55" i="3" s="1"/>
  <c r="BA27" i="3"/>
  <c r="Z54" i="3" s="1"/>
  <c r="BH26" i="3"/>
  <c r="Y61" i="3" s="1"/>
  <c r="BG26" i="3"/>
  <c r="Y60" i="3" s="1"/>
  <c r="BE26" i="3"/>
  <c r="Y58" i="3" s="1"/>
  <c r="BD26" i="3"/>
  <c r="Y57" i="3" s="1"/>
  <c r="BC26" i="3"/>
  <c r="Y56" i="3" s="1"/>
  <c r="BB26" i="3"/>
  <c r="Y55" i="3" s="1"/>
  <c r="BA26" i="3"/>
  <c r="Y54" i="3" s="1"/>
  <c r="BH25" i="3"/>
  <c r="X61" i="3" s="1"/>
  <c r="BG25" i="3"/>
  <c r="X60" i="3" s="1"/>
  <c r="BE25" i="3"/>
  <c r="X58" i="3" s="1"/>
  <c r="BD25" i="3"/>
  <c r="X57" i="3" s="1"/>
  <c r="BC25" i="3"/>
  <c r="X56" i="3" s="1"/>
  <c r="BB25" i="3"/>
  <c r="X55" i="3" s="1"/>
  <c r="BA25" i="3"/>
  <c r="X54" i="3" s="1"/>
  <c r="BH24" i="3"/>
  <c r="W61" i="3" s="1"/>
  <c r="BG24" i="3"/>
  <c r="W60" i="3" s="1"/>
  <c r="BE24" i="3"/>
  <c r="W58" i="3" s="1"/>
  <c r="BD24" i="3"/>
  <c r="W57" i="3" s="1"/>
  <c r="BC24" i="3"/>
  <c r="W56" i="3" s="1"/>
  <c r="BB24" i="3"/>
  <c r="W55" i="3" s="1"/>
  <c r="BA24" i="3"/>
  <c r="W54" i="3" s="1"/>
  <c r="AT30" i="3"/>
  <c r="AC47" i="3" s="1"/>
  <c r="AS30" i="3"/>
  <c r="AC46" i="3" s="1"/>
  <c r="AR30" i="3"/>
  <c r="AC45" i="3" s="1"/>
  <c r="AQ30" i="3"/>
  <c r="AC44" i="3" s="1"/>
  <c r="AP30" i="3"/>
  <c r="AC43" i="3" s="1"/>
  <c r="AO30" i="3"/>
  <c r="AC42" i="3" s="1"/>
  <c r="AN30" i="3"/>
  <c r="AC41" i="3" s="1"/>
  <c r="AL30" i="3"/>
  <c r="AC39" i="3" s="1"/>
  <c r="AK30" i="3"/>
  <c r="AC38" i="3" s="1"/>
  <c r="AJ30" i="3"/>
  <c r="AC37" i="3" s="1"/>
  <c r="AM30" i="3"/>
  <c r="AC40" i="3" s="1"/>
  <c r="AT29" i="3"/>
  <c r="AB47" i="3" s="1"/>
  <c r="AS29" i="3"/>
  <c r="AB46" i="3" s="1"/>
  <c r="AR29" i="3"/>
  <c r="AB45" i="3" s="1"/>
  <c r="AQ29" i="3"/>
  <c r="AB44" i="3" s="1"/>
  <c r="AP29" i="3"/>
  <c r="AB43" i="3" s="1"/>
  <c r="AO29" i="3"/>
  <c r="AB42" i="3" s="1"/>
  <c r="AN29" i="3"/>
  <c r="AB41" i="3" s="1"/>
  <c r="AM29" i="3"/>
  <c r="AB40" i="3" s="1"/>
  <c r="AL29" i="3"/>
  <c r="AB39" i="3" s="1"/>
  <c r="AK29" i="3"/>
  <c r="AB38" i="3" s="1"/>
  <c r="AJ29" i="3"/>
  <c r="AB37" i="3" s="1"/>
  <c r="AT28" i="3"/>
  <c r="AA47" i="3" s="1"/>
  <c r="AS28" i="3"/>
  <c r="AA46" i="3" s="1"/>
  <c r="AR28" i="3"/>
  <c r="AA45" i="3" s="1"/>
  <c r="AQ28" i="3"/>
  <c r="AA44" i="3" s="1"/>
  <c r="AP28" i="3"/>
  <c r="AA43" i="3" s="1"/>
  <c r="AO28" i="3"/>
  <c r="AA42" i="3" s="1"/>
  <c r="AN28" i="3"/>
  <c r="AA41" i="3" s="1"/>
  <c r="AM28" i="3"/>
  <c r="AA40" i="3" s="1"/>
  <c r="AL28" i="3"/>
  <c r="AA39" i="3" s="1"/>
  <c r="AK28" i="3"/>
  <c r="AA38" i="3" s="1"/>
  <c r="AJ28" i="3"/>
  <c r="AA37" i="3" s="1"/>
  <c r="AT27" i="3"/>
  <c r="Z47" i="3" s="1"/>
  <c r="AS27" i="3"/>
  <c r="Z46" i="3" s="1"/>
  <c r="AR27" i="3"/>
  <c r="Z45" i="3" s="1"/>
  <c r="AQ27" i="3"/>
  <c r="Z44" i="3" s="1"/>
  <c r="AP27" i="3"/>
  <c r="Z43" i="3" s="1"/>
  <c r="AO27" i="3"/>
  <c r="Z42" i="3" s="1"/>
  <c r="AN27" i="3"/>
  <c r="Z41" i="3" s="1"/>
  <c r="AM27" i="3"/>
  <c r="Z40" i="3" s="1"/>
  <c r="AL27" i="3"/>
  <c r="Z39" i="3" s="1"/>
  <c r="AK27" i="3"/>
  <c r="Z38" i="3" s="1"/>
  <c r="AJ27" i="3"/>
  <c r="Z37" i="3" s="1"/>
  <c r="AT26" i="3"/>
  <c r="Y47" i="3" s="1"/>
  <c r="AS26" i="3"/>
  <c r="Y46" i="3" s="1"/>
  <c r="AR26" i="3"/>
  <c r="Y45" i="3" s="1"/>
  <c r="AQ26" i="3"/>
  <c r="Y44" i="3" s="1"/>
  <c r="AP26" i="3"/>
  <c r="Y43" i="3" s="1"/>
  <c r="AO26" i="3"/>
  <c r="Y42" i="3" s="1"/>
  <c r="AN26" i="3"/>
  <c r="Y41" i="3" s="1"/>
  <c r="AM26" i="3"/>
  <c r="Y40" i="3" s="1"/>
  <c r="AL26" i="3"/>
  <c r="Y39" i="3" s="1"/>
  <c r="AK26" i="3"/>
  <c r="Y38" i="3" s="1"/>
  <c r="AJ26" i="3"/>
  <c r="Y37" i="3" s="1"/>
  <c r="AT25" i="3"/>
  <c r="X47" i="3" s="1"/>
  <c r="AS25" i="3"/>
  <c r="X46" i="3" s="1"/>
  <c r="AR25" i="3"/>
  <c r="X45" i="3" s="1"/>
  <c r="AQ25" i="3"/>
  <c r="X44" i="3" s="1"/>
  <c r="AP25" i="3"/>
  <c r="X43" i="3" s="1"/>
  <c r="AO25" i="3"/>
  <c r="X42" i="3" s="1"/>
  <c r="AN25" i="3"/>
  <c r="X41" i="3" s="1"/>
  <c r="AM25" i="3"/>
  <c r="X40" i="3" s="1"/>
  <c r="AL25" i="3"/>
  <c r="X39" i="3" s="1"/>
  <c r="AK25" i="3"/>
  <c r="X38" i="3" s="1"/>
  <c r="AJ25" i="3"/>
  <c r="X37" i="3" s="1"/>
  <c r="AT24" i="3"/>
  <c r="W47" i="3" s="1"/>
  <c r="AS24" i="3"/>
  <c r="W46" i="3" s="1"/>
  <c r="AR24" i="3"/>
  <c r="W45" i="3" s="1"/>
  <c r="AQ24" i="3"/>
  <c r="W44" i="3" s="1"/>
  <c r="AP24" i="3"/>
  <c r="W43" i="3" s="1"/>
  <c r="AO24" i="3"/>
  <c r="W42" i="3" s="1"/>
  <c r="AN24" i="3"/>
  <c r="W41" i="3" s="1"/>
  <c r="AM24" i="3"/>
  <c r="W40" i="3" s="1"/>
  <c r="AL24" i="3"/>
  <c r="W39" i="3" s="1"/>
  <c r="AK24" i="3"/>
  <c r="W38" i="3" s="1"/>
  <c r="AJ24" i="3"/>
  <c r="W37" i="3" s="1"/>
  <c r="AG30" i="3"/>
  <c r="AC34" i="3" s="1"/>
  <c r="AF30" i="3"/>
  <c r="AC33" i="3" s="1"/>
  <c r="AG29" i="3"/>
  <c r="AB34" i="3" s="1"/>
  <c r="AF29" i="3"/>
  <c r="AB33" i="3" s="1"/>
  <c r="AG28" i="3"/>
  <c r="AA34" i="3" s="1"/>
  <c r="AF28" i="3"/>
  <c r="AA33" i="3" s="1"/>
  <c r="AG27" i="3"/>
  <c r="Z34" i="3" s="1"/>
  <c r="AF27" i="3"/>
  <c r="Z33" i="3" s="1"/>
  <c r="AG26" i="3"/>
  <c r="Y34" i="3" s="1"/>
  <c r="AF26" i="3"/>
  <c r="Y33" i="3" s="1"/>
  <c r="AG25" i="3"/>
  <c r="X34" i="3" s="1"/>
  <c r="AF25" i="3"/>
  <c r="X33" i="3" s="1"/>
  <c r="AG24" i="3"/>
  <c r="W34" i="3" s="1"/>
  <c r="AF24" i="3"/>
  <c r="W33" i="3" s="1"/>
  <c r="CG21" i="3"/>
  <c r="T86" i="3" s="1"/>
  <c r="CF21" i="3"/>
  <c r="T85" i="3" s="1"/>
  <c r="CE21" i="3"/>
  <c r="T84" i="3" s="1"/>
  <c r="CD21" i="3"/>
  <c r="T83" i="3" s="1"/>
  <c r="CC21" i="3"/>
  <c r="T82" i="3" s="1"/>
  <c r="CB21" i="3"/>
  <c r="T81" i="3" s="1"/>
  <c r="CA21" i="3"/>
  <c r="T80" i="3" s="1"/>
  <c r="BZ21" i="3"/>
  <c r="T79" i="3" s="1"/>
  <c r="BY21" i="3"/>
  <c r="T78" i="3" s="1"/>
  <c r="CG20" i="3"/>
  <c r="S86" i="3" s="1"/>
  <c r="CF20" i="3"/>
  <c r="S85" i="3" s="1"/>
  <c r="CE20" i="3"/>
  <c r="S84" i="3" s="1"/>
  <c r="CD20" i="3"/>
  <c r="S83" i="3" s="1"/>
  <c r="CC20" i="3"/>
  <c r="S82" i="3" s="1"/>
  <c r="CB20" i="3"/>
  <c r="S81" i="3" s="1"/>
  <c r="CA20" i="3"/>
  <c r="S80" i="3" s="1"/>
  <c r="BZ20" i="3"/>
  <c r="S79" i="3" s="1"/>
  <c r="BY20" i="3"/>
  <c r="S78" i="3" s="1"/>
  <c r="CG19" i="3"/>
  <c r="R86" i="3" s="1"/>
  <c r="CF19" i="3"/>
  <c r="R85" i="3" s="1"/>
  <c r="CE19" i="3"/>
  <c r="R84" i="3" s="1"/>
  <c r="CD19" i="3"/>
  <c r="R83" i="3" s="1"/>
  <c r="CC19" i="3"/>
  <c r="R82" i="3" s="1"/>
  <c r="CB19" i="3"/>
  <c r="R81" i="3" s="1"/>
  <c r="CA19" i="3"/>
  <c r="R80" i="3" s="1"/>
  <c r="BZ19" i="3"/>
  <c r="R79" i="3" s="1"/>
  <c r="BY19" i="3"/>
  <c r="R78" i="3" s="1"/>
  <c r="CG18" i="3"/>
  <c r="Q86" i="3" s="1"/>
  <c r="CF18" i="3"/>
  <c r="Q85" i="3" s="1"/>
  <c r="CE18" i="3"/>
  <c r="Q84" i="3" s="1"/>
  <c r="CD18" i="3"/>
  <c r="Q83" i="3" s="1"/>
  <c r="CC18" i="3"/>
  <c r="Q82" i="3" s="1"/>
  <c r="CB18" i="3"/>
  <c r="Q81" i="3" s="1"/>
  <c r="CA18" i="3"/>
  <c r="Q80" i="3" s="1"/>
  <c r="BZ18" i="3"/>
  <c r="Q79" i="3" s="1"/>
  <c r="BY18" i="3"/>
  <c r="Q78" i="3" s="1"/>
  <c r="CG17" i="3"/>
  <c r="P86" i="3" s="1"/>
  <c r="CF17" i="3"/>
  <c r="P85" i="3" s="1"/>
  <c r="CE17" i="3"/>
  <c r="P84" i="3" s="1"/>
  <c r="CD17" i="3"/>
  <c r="P83" i="3" s="1"/>
  <c r="CC17" i="3"/>
  <c r="P82" i="3" s="1"/>
  <c r="CB17" i="3"/>
  <c r="P81" i="3" s="1"/>
  <c r="CA17" i="3"/>
  <c r="P80" i="3" s="1"/>
  <c r="BY17" i="3"/>
  <c r="P78" i="3" s="1"/>
  <c r="BZ17" i="3"/>
  <c r="P79" i="3" s="1"/>
  <c r="CG16" i="3"/>
  <c r="O86" i="3" s="1"/>
  <c r="CF16" i="3"/>
  <c r="O85" i="3" s="1"/>
  <c r="CE16" i="3"/>
  <c r="O84" i="3" s="1"/>
  <c r="CD16" i="3"/>
  <c r="O83" i="3" s="1"/>
  <c r="CC16" i="3"/>
  <c r="O82" i="3" s="1"/>
  <c r="CB16" i="3"/>
  <c r="O81" i="3" s="1"/>
  <c r="CA16" i="3"/>
  <c r="O80" i="3" s="1"/>
  <c r="BZ16" i="3"/>
  <c r="O79" i="3" s="1"/>
  <c r="BY16" i="3"/>
  <c r="O78" i="3" s="1"/>
  <c r="BH21" i="3"/>
  <c r="T61" i="3" s="1"/>
  <c r="BG21" i="3"/>
  <c r="T60" i="3" s="1"/>
  <c r="BE21" i="3"/>
  <c r="T58" i="3" s="1"/>
  <c r="BD21" i="3"/>
  <c r="T57" i="3" s="1"/>
  <c r="BC21" i="3"/>
  <c r="T56" i="3" s="1"/>
  <c r="BB21" i="3"/>
  <c r="T55" i="3" s="1"/>
  <c r="BA21" i="3"/>
  <c r="T54" i="3" s="1"/>
  <c r="BH20" i="3"/>
  <c r="S61" i="3" s="1"/>
  <c r="BG20" i="3"/>
  <c r="S60" i="3" s="1"/>
  <c r="BE20" i="3"/>
  <c r="S58" i="3" s="1"/>
  <c r="BD20" i="3"/>
  <c r="S57" i="3" s="1"/>
  <c r="BC20" i="3"/>
  <c r="S56" i="3" s="1"/>
  <c r="BB20" i="3"/>
  <c r="S55" i="3" s="1"/>
  <c r="BA20" i="3"/>
  <c r="S54" i="3" s="1"/>
  <c r="BH19" i="3"/>
  <c r="R61" i="3" s="1"/>
  <c r="BG19" i="3"/>
  <c r="R60" i="3" s="1"/>
  <c r="BE19" i="3"/>
  <c r="R58" i="3" s="1"/>
  <c r="BD19" i="3"/>
  <c r="R57" i="3" s="1"/>
  <c r="BC19" i="3"/>
  <c r="R56" i="3" s="1"/>
  <c r="BB19" i="3"/>
  <c r="R55" i="3" s="1"/>
  <c r="BA19" i="3"/>
  <c r="R54" i="3" s="1"/>
  <c r="BH18" i="3"/>
  <c r="Q61" i="3" s="1"/>
  <c r="BG18" i="3"/>
  <c r="Q60" i="3" s="1"/>
  <c r="BE18" i="3"/>
  <c r="Q58" i="3" s="1"/>
  <c r="BD18" i="3"/>
  <c r="Q57" i="3" s="1"/>
  <c r="BC18" i="3"/>
  <c r="Q56" i="3" s="1"/>
  <c r="BB18" i="3"/>
  <c r="Q55" i="3" s="1"/>
  <c r="BA18" i="3"/>
  <c r="Q54" i="3" s="1"/>
  <c r="BH17" i="3"/>
  <c r="P61" i="3" s="1"/>
  <c r="BG17" i="3"/>
  <c r="P60" i="3" s="1"/>
  <c r="BE17" i="3"/>
  <c r="P58" i="3" s="1"/>
  <c r="BD17" i="3"/>
  <c r="P57" i="3" s="1"/>
  <c r="BC17" i="3"/>
  <c r="P56" i="3" s="1"/>
  <c r="BB17" i="3"/>
  <c r="P55" i="3" s="1"/>
  <c r="BA17" i="3"/>
  <c r="P54" i="3" s="1"/>
  <c r="BH16" i="3"/>
  <c r="O61" i="3" s="1"/>
  <c r="BG16" i="3"/>
  <c r="O60" i="3" s="1"/>
  <c r="BE16" i="3"/>
  <c r="O58" i="3" s="1"/>
  <c r="BD16" i="3"/>
  <c r="O57" i="3" s="1"/>
  <c r="BC16" i="3"/>
  <c r="O56" i="3" s="1"/>
  <c r="BB16" i="3"/>
  <c r="O55" i="3" s="1"/>
  <c r="BA16" i="3"/>
  <c r="O54" i="3" s="1"/>
  <c r="AT20" i="3"/>
  <c r="S47" i="3" s="1"/>
  <c r="AS20" i="3"/>
  <c r="S46" i="3" s="1"/>
  <c r="AR20" i="3"/>
  <c r="S45" i="3" s="1"/>
  <c r="AQ20" i="3"/>
  <c r="S44" i="3" s="1"/>
  <c r="AP20" i="3"/>
  <c r="S43" i="3" s="1"/>
  <c r="AO20" i="3"/>
  <c r="S42" i="3" s="1"/>
  <c r="AN20" i="3"/>
  <c r="S41" i="3" s="1"/>
  <c r="AM20" i="3"/>
  <c r="S40" i="3" s="1"/>
  <c r="AL20" i="3"/>
  <c r="S39" i="3" s="1"/>
  <c r="AK20" i="3"/>
  <c r="S38" i="3" s="1"/>
  <c r="AJ20" i="3"/>
  <c r="S37" i="3" s="1"/>
  <c r="AT19" i="3"/>
  <c r="R47" i="3" s="1"/>
  <c r="AS19" i="3"/>
  <c r="R46" i="3" s="1"/>
  <c r="AR19" i="3"/>
  <c r="R45" i="3" s="1"/>
  <c r="AQ19" i="3"/>
  <c r="R44" i="3" s="1"/>
  <c r="AP19" i="3"/>
  <c r="R43" i="3" s="1"/>
  <c r="AO19" i="3"/>
  <c r="R42" i="3" s="1"/>
  <c r="AN19" i="3"/>
  <c r="R41" i="3" s="1"/>
  <c r="AM19" i="3"/>
  <c r="R40" i="3" s="1"/>
  <c r="AL19" i="3"/>
  <c r="R39" i="3" s="1"/>
  <c r="AK19" i="3"/>
  <c r="R38" i="3" s="1"/>
  <c r="AJ19" i="3"/>
  <c r="R37" i="3" s="1"/>
  <c r="AT18" i="3"/>
  <c r="Q47" i="3" s="1"/>
  <c r="AS18" i="3"/>
  <c r="Q46" i="3" s="1"/>
  <c r="AR18" i="3"/>
  <c r="Q45" i="3" s="1"/>
  <c r="AQ18" i="3"/>
  <c r="Q44" i="3" s="1"/>
  <c r="AP18" i="3"/>
  <c r="Q43" i="3" s="1"/>
  <c r="AO18" i="3"/>
  <c r="Q42" i="3" s="1"/>
  <c r="AN18" i="3"/>
  <c r="Q41" i="3" s="1"/>
  <c r="AM18" i="3"/>
  <c r="Q40" i="3" s="1"/>
  <c r="AL18" i="3"/>
  <c r="Q39" i="3" s="1"/>
  <c r="AK18" i="3"/>
  <c r="Q38" i="3" s="1"/>
  <c r="AJ18" i="3"/>
  <c r="Q37" i="3" s="1"/>
  <c r="AT17" i="3"/>
  <c r="P47" i="3" s="1"/>
  <c r="AS17" i="3"/>
  <c r="P46" i="3" s="1"/>
  <c r="AR17" i="3"/>
  <c r="P45" i="3" s="1"/>
  <c r="AQ17" i="3"/>
  <c r="P44" i="3" s="1"/>
  <c r="AP17" i="3"/>
  <c r="P43" i="3" s="1"/>
  <c r="AO17" i="3"/>
  <c r="P42" i="3" s="1"/>
  <c r="AN17" i="3"/>
  <c r="P41" i="3" s="1"/>
  <c r="AM17" i="3"/>
  <c r="P40" i="3" s="1"/>
  <c r="AL17" i="3"/>
  <c r="P39" i="3" s="1"/>
  <c r="AK17" i="3"/>
  <c r="P38" i="3" s="1"/>
  <c r="AJ17" i="3"/>
  <c r="P37" i="3" s="1"/>
  <c r="AT16" i="3"/>
  <c r="O47" i="3" s="1"/>
  <c r="AS16" i="3"/>
  <c r="O46" i="3" s="1"/>
  <c r="AR16" i="3"/>
  <c r="O45" i="3" s="1"/>
  <c r="AQ16" i="3"/>
  <c r="O44" i="3" s="1"/>
  <c r="AP16" i="3"/>
  <c r="O43" i="3" s="1"/>
  <c r="AO16" i="3"/>
  <c r="O42" i="3" s="1"/>
  <c r="AN16" i="3"/>
  <c r="O41" i="3" s="1"/>
  <c r="AM16" i="3"/>
  <c r="O40" i="3" s="1"/>
  <c r="AL16" i="3"/>
  <c r="O39" i="3" s="1"/>
  <c r="AK16" i="3"/>
  <c r="O38" i="3" s="1"/>
  <c r="AJ16" i="3"/>
  <c r="O37" i="3" s="1"/>
  <c r="AT21" i="3"/>
  <c r="T47" i="3" s="1"/>
  <c r="AS21" i="3"/>
  <c r="T46" i="3" s="1"/>
  <c r="AR21" i="3"/>
  <c r="T45" i="3" s="1"/>
  <c r="AQ21" i="3"/>
  <c r="T44" i="3" s="1"/>
  <c r="AP21" i="3"/>
  <c r="T43" i="3" s="1"/>
  <c r="AO21" i="3"/>
  <c r="T42" i="3" s="1"/>
  <c r="AN21" i="3"/>
  <c r="T41" i="3" s="1"/>
  <c r="AM21" i="3"/>
  <c r="T40" i="3" s="1"/>
  <c r="AL21" i="3"/>
  <c r="T39" i="3" s="1"/>
  <c r="AK21" i="3"/>
  <c r="T38" i="3" s="1"/>
  <c r="AG21" i="3"/>
  <c r="T34" i="3" s="1"/>
  <c r="AG20" i="3"/>
  <c r="S34" i="3" s="1"/>
  <c r="AF20" i="3"/>
  <c r="S33" i="3" s="1"/>
  <c r="AG19" i="3"/>
  <c r="R34" i="3" s="1"/>
  <c r="AF19" i="3"/>
  <c r="R33" i="3" s="1"/>
  <c r="AG18" i="3"/>
  <c r="Q34" i="3" s="1"/>
  <c r="AF18" i="3"/>
  <c r="Q33" i="3" s="1"/>
  <c r="AF21" i="3"/>
  <c r="T33" i="3" s="1"/>
  <c r="Z18" i="3"/>
  <c r="Q27" i="3" s="1"/>
  <c r="AC17" i="3"/>
  <c r="P30" i="3" s="1"/>
  <c r="AG17" i="3"/>
  <c r="P34" i="3" s="1"/>
  <c r="AF17" i="3"/>
  <c r="P33" i="3" s="1"/>
  <c r="AG16" i="3"/>
  <c r="O34" i="3" s="1"/>
  <c r="AF16" i="3"/>
  <c r="O33" i="3" s="1"/>
  <c r="AC16" i="3"/>
  <c r="O30" i="3" s="1"/>
  <c r="AC21" i="3"/>
  <c r="T30" i="3" s="1"/>
  <c r="AC20" i="3"/>
  <c r="S30" i="3" s="1"/>
  <c r="AC19" i="3"/>
  <c r="R30" i="3" s="1"/>
  <c r="AC18" i="3"/>
  <c r="Q30" i="3" s="1"/>
  <c r="AB21" i="3"/>
  <c r="T29" i="3" s="1"/>
  <c r="AB20" i="3"/>
  <c r="S29" i="3" s="1"/>
  <c r="AB19" i="3"/>
  <c r="R29" i="3" s="1"/>
  <c r="AB18" i="3"/>
  <c r="Q29" i="3" s="1"/>
  <c r="AB17" i="3"/>
  <c r="P29" i="3" s="1"/>
  <c r="AB16" i="3"/>
  <c r="O29" i="3" s="1"/>
  <c r="AA21" i="3"/>
  <c r="T28" i="3" s="1"/>
  <c r="AA20" i="3"/>
  <c r="S28" i="3" s="1"/>
  <c r="AA19" i="3"/>
  <c r="R28" i="3" s="1"/>
  <c r="AA18" i="3"/>
  <c r="Q28" i="3" s="1"/>
  <c r="AA17" i="3"/>
  <c r="P28" i="3" s="1"/>
  <c r="AA16" i="3"/>
  <c r="O28" i="3" s="1"/>
  <c r="Z21" i="3"/>
  <c r="T27" i="3" s="1"/>
  <c r="Z20" i="3"/>
  <c r="S27" i="3" s="1"/>
  <c r="Z19" i="3"/>
  <c r="R27" i="3" s="1"/>
  <c r="Z17" i="3"/>
  <c r="P27" i="3" s="1"/>
  <c r="Z16" i="3"/>
  <c r="O27" i="3" s="1"/>
  <c r="Y21" i="3"/>
  <c r="T26" i="3" s="1"/>
  <c r="Y20" i="3"/>
  <c r="S26" i="3" s="1"/>
  <c r="Y19" i="3"/>
  <c r="R26" i="3" s="1"/>
  <c r="Y18" i="3"/>
  <c r="Q26" i="3" s="1"/>
  <c r="Y17" i="3"/>
  <c r="P26" i="3" s="1"/>
  <c r="Y16" i="3"/>
  <c r="O26" i="3" s="1"/>
  <c r="X21" i="3"/>
  <c r="T25" i="3" s="1"/>
  <c r="X20" i="3"/>
  <c r="S25" i="3" s="1"/>
  <c r="X19" i="3"/>
  <c r="R25" i="3" s="1"/>
  <c r="X18" i="3"/>
  <c r="Q25" i="3" s="1"/>
  <c r="X17" i="3"/>
  <c r="P25" i="3" s="1"/>
  <c r="X16" i="3"/>
  <c r="O25" i="3" s="1"/>
  <c r="W21" i="3"/>
  <c r="T24" i="3" s="1"/>
  <c r="W19" i="3"/>
  <c r="R24" i="3" s="1"/>
  <c r="W20" i="3"/>
  <c r="S24" i="3" s="1"/>
  <c r="W18" i="3"/>
  <c r="Q24" i="3" s="1"/>
  <c r="W17" i="3"/>
  <c r="P24" i="3" s="1"/>
  <c r="M20" i="3"/>
  <c r="M16" i="3"/>
  <c r="W16" i="3"/>
  <c r="O24" i="3" s="1"/>
  <c r="O50" i="3" l="1"/>
  <c r="AF62" i="3"/>
  <c r="AQ62" i="3"/>
  <c r="O62" i="3"/>
  <c r="Q87" i="3"/>
  <c r="AS87" i="3"/>
  <c r="BD87" i="3"/>
  <c r="AS62" i="3"/>
  <c r="AP62" i="3"/>
  <c r="AL87" i="3"/>
  <c r="AN87" i="3"/>
  <c r="AO87" i="3"/>
  <c r="AP87" i="3"/>
  <c r="AQ87" i="3"/>
  <c r="BE87" i="3"/>
  <c r="AR87" i="3"/>
  <c r="BG87" i="3"/>
  <c r="AM87" i="3"/>
  <c r="AT87" i="3"/>
  <c r="AO62" i="3"/>
  <c r="BC87" i="3"/>
  <c r="AG62" i="3"/>
  <c r="AL62" i="3"/>
  <c r="BH87" i="3"/>
  <c r="AN62" i="3"/>
  <c r="AR62" i="3"/>
  <c r="BA87" i="3"/>
  <c r="AM62" i="3"/>
  <c r="AT62" i="3"/>
  <c r="BB87" i="3"/>
  <c r="AK87" i="3"/>
  <c r="AK62" i="3"/>
  <c r="AJ85" i="3"/>
  <c r="AJ87" i="3" s="1"/>
  <c r="CF50" i="3"/>
  <c r="AJ62" i="3"/>
  <c r="AG87" i="3"/>
  <c r="AF87" i="3"/>
  <c r="W62" i="3"/>
  <c r="AB62" i="3"/>
  <c r="Y87" i="3"/>
  <c r="AB87" i="3"/>
  <c r="Y62" i="3"/>
  <c r="X87" i="3"/>
  <c r="AA62" i="3"/>
  <c r="AA87" i="3"/>
  <c r="W87" i="3"/>
  <c r="AC62" i="3"/>
  <c r="X62" i="3"/>
  <c r="Z87" i="3"/>
  <c r="Z62" i="3"/>
  <c r="AC87" i="3"/>
  <c r="O87" i="3"/>
  <c r="S87" i="3"/>
  <c r="P62" i="3"/>
  <c r="R62" i="3"/>
  <c r="R87" i="3"/>
  <c r="T62" i="3"/>
  <c r="Q62" i="3"/>
  <c r="T87" i="3"/>
  <c r="S62" i="3"/>
  <c r="P87" i="3"/>
  <c r="Z35" i="3"/>
  <c r="Q35" i="3"/>
  <c r="W35" i="3"/>
  <c r="AC35" i="3"/>
  <c r="Q50" i="3"/>
  <c r="P35" i="3"/>
  <c r="T50" i="3"/>
  <c r="AB50" i="3"/>
  <c r="AC50" i="3"/>
  <c r="AB35" i="3"/>
  <c r="AA50" i="3"/>
  <c r="Z50" i="3"/>
  <c r="Y50" i="3"/>
  <c r="S50" i="3"/>
  <c r="X50" i="3"/>
  <c r="AG50" i="3"/>
  <c r="R50" i="3"/>
  <c r="W50" i="3"/>
  <c r="AF50" i="3"/>
  <c r="P50" i="3"/>
  <c r="S35" i="3"/>
  <c r="Y35" i="3"/>
  <c r="T35" i="3"/>
  <c r="R35" i="3"/>
  <c r="X35" i="3"/>
  <c r="Q31" i="3"/>
  <c r="O35" i="3"/>
  <c r="AA35" i="3"/>
  <c r="O31" i="3"/>
  <c r="T31" i="3"/>
  <c r="P31" i="3"/>
  <c r="S31" i="3"/>
  <c r="BA50" i="3"/>
  <c r="BY50" i="3"/>
  <c r="CA50" i="3"/>
  <c r="CC50" i="3"/>
  <c r="CE50" i="3"/>
  <c r="CG50" i="3"/>
  <c r="BZ50" i="3"/>
  <c r="CB50" i="3"/>
  <c r="CD50" i="3"/>
  <c r="BH50" i="3"/>
  <c r="BF50" i="3"/>
  <c r="BC50" i="3"/>
  <c r="BE50" i="3"/>
  <c r="BG50" i="3"/>
  <c r="BB50" i="3"/>
  <c r="BD50" i="3"/>
  <c r="M50" i="3"/>
  <c r="AO35" i="3"/>
  <c r="CB35" i="3"/>
  <c r="CA35" i="3"/>
  <c r="AM35" i="3"/>
  <c r="AL35" i="3"/>
  <c r="BY35" i="3"/>
  <c r="CE22" i="3"/>
  <c r="CD35" i="3"/>
  <c r="CF31" i="3"/>
  <c r="BB35" i="3"/>
  <c r="CD31" i="3"/>
  <c r="CG35" i="3"/>
  <c r="BB22" i="3"/>
  <c r="AQ35" i="3"/>
  <c r="BA35" i="3"/>
  <c r="CG22" i="3"/>
  <c r="AU35" i="3"/>
  <c r="BF35" i="3"/>
  <c r="CJ35" i="3"/>
  <c r="DA35" i="3" s="1"/>
  <c r="BZ31" i="3"/>
  <c r="CC31" i="3"/>
  <c r="BH22" i="3"/>
  <c r="BD22" i="3"/>
  <c r="AT35" i="3"/>
  <c r="BE35" i="3"/>
  <c r="AL31" i="3"/>
  <c r="AV31" i="3"/>
  <c r="BC31" i="3"/>
  <c r="BG31" i="3"/>
  <c r="AN35" i="3"/>
  <c r="BE22" i="3"/>
  <c r="BB31" i="3"/>
  <c r="BF31" i="3"/>
  <c r="AG31" i="3"/>
  <c r="BE31" i="3"/>
  <c r="BA31" i="3"/>
  <c r="AF22" i="3"/>
  <c r="AG22" i="3"/>
  <c r="AS22" i="3"/>
  <c r="AR22" i="3"/>
  <c r="AQ22" i="3"/>
  <c r="CC22" i="3"/>
  <c r="CF22" i="3"/>
  <c r="BZ22" i="3"/>
  <c r="AR31" i="3"/>
  <c r="AQ31" i="3"/>
  <c r="AP31" i="3"/>
  <c r="AO31" i="3"/>
  <c r="AN31" i="3"/>
  <c r="AM31" i="3"/>
  <c r="AK31" i="3"/>
  <c r="M31" i="3"/>
  <c r="AP35" i="3"/>
  <c r="CJ31" i="3"/>
  <c r="DA31" i="3" s="1"/>
  <c r="CB31" i="3"/>
  <c r="CE31" i="3"/>
  <c r="BG35" i="3"/>
  <c r="CC35" i="3"/>
  <c r="CF35" i="3"/>
  <c r="CD62" i="3"/>
  <c r="BZ62" i="3"/>
  <c r="AK35" i="3"/>
  <c r="AJ35" i="3"/>
  <c r="AV35" i="3"/>
  <c r="W22" i="3"/>
  <c r="BF22" i="3"/>
  <c r="AU22" i="3"/>
  <c r="CB22" i="3"/>
  <c r="M35" i="3"/>
  <c r="AS35" i="3"/>
  <c r="AR35" i="3"/>
  <c r="CG31" i="3"/>
  <c r="CA31" i="3"/>
  <c r="BD35" i="3"/>
  <c r="BC35" i="3"/>
  <c r="CE35" i="3"/>
  <c r="Z22" i="3"/>
  <c r="AC22" i="3"/>
  <c r="AK22" i="3"/>
  <c r="AT22" i="3"/>
  <c r="BA22" i="3"/>
  <c r="AY22" i="3"/>
  <c r="CA22" i="3"/>
  <c r="CD22" i="3"/>
  <c r="AF31" i="3"/>
  <c r="AJ31" i="3"/>
  <c r="AU31" i="3"/>
  <c r="AT31" i="3"/>
  <c r="AS31" i="3"/>
  <c r="AA22" i="3"/>
  <c r="Y22" i="3"/>
  <c r="AN22" i="3"/>
  <c r="AM22" i="3"/>
  <c r="AL22" i="3"/>
  <c r="BC22" i="3"/>
  <c r="BG22" i="3"/>
  <c r="BY22" i="3"/>
  <c r="BH31" i="3"/>
  <c r="BD31" i="3"/>
  <c r="AY31" i="3"/>
  <c r="BY31" i="3"/>
  <c r="BH35" i="3"/>
  <c r="BZ35" i="3"/>
  <c r="M62" i="3"/>
  <c r="AP22" i="3"/>
  <c r="AO22" i="3"/>
  <c r="CB62" i="3"/>
  <c r="CF62" i="3"/>
  <c r="CC62" i="3"/>
  <c r="CE62" i="3"/>
  <c r="CG62" i="3"/>
  <c r="X22" i="3"/>
  <c r="AB22" i="3"/>
  <c r="AV22" i="3"/>
  <c r="BY62" i="3"/>
  <c r="CA62" i="3"/>
  <c r="M17" i="3"/>
  <c r="AH62" i="3" l="1"/>
  <c r="AH87" i="3"/>
  <c r="AW87" i="3"/>
  <c r="BI87" i="3"/>
  <c r="AD62" i="3"/>
  <c r="AW62" i="3"/>
  <c r="U62" i="3"/>
  <c r="AD87" i="3"/>
  <c r="U87" i="3"/>
  <c r="AH50" i="3"/>
  <c r="AD35" i="3"/>
  <c r="AD50" i="3"/>
  <c r="U50" i="3"/>
  <c r="U35" i="3"/>
  <c r="BI50" i="3"/>
  <c r="BI22" i="3"/>
  <c r="CH31" i="3"/>
  <c r="CH35" i="3"/>
  <c r="AW35" i="3"/>
  <c r="CH62" i="3"/>
  <c r="AW31" i="3"/>
  <c r="BI35" i="3"/>
  <c r="CH22" i="3"/>
  <c r="AH31" i="3"/>
  <c r="BI31" i="3"/>
  <c r="CH50" i="3"/>
  <c r="AH22" i="3"/>
  <c r="AD22" i="3"/>
  <c r="M18" i="3"/>
  <c r="M19" i="3" s="1"/>
  <c r="M21" i="3" l="1"/>
  <c r="M22" i="3" s="1"/>
  <c r="R31" i="3" l="1"/>
  <c r="U31" i="3" s="1"/>
  <c r="AJ22" i="3"/>
  <c r="AW22" i="3" s="1"/>
  <c r="R106" i="3"/>
  <c r="U106" i="3" s="1"/>
  <c r="R72" i="3" l="1"/>
  <c r="U7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VILLAMIZAR</author>
  </authors>
  <commentList>
    <comment ref="G14" authorId="0" shapeId="0" xr:uid="{00000000-0006-0000-0000-000001000000}">
      <text>
        <r>
          <rPr>
            <sz val="9"/>
            <color indexed="81"/>
            <rFont val="Tahoma"/>
            <family val="2"/>
          </rPr>
          <t>numero entero positivo</t>
        </r>
      </text>
    </comment>
    <comment ref="J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SEXO:  </t>
        </r>
        <r>
          <rPr>
            <sz val="9"/>
            <color indexed="81"/>
            <rFont val="Tahoma"/>
            <family val="2"/>
          </rPr>
          <t>M=Masculino,  F=Femenino</t>
        </r>
      </text>
    </comment>
    <comment ref="C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NOMBRE 1: En Mayuscula fija</t>
        </r>
      </text>
    </comment>
    <comment ref="D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NOMBRE 2: En Mayuscula fija</t>
        </r>
      </text>
    </comment>
    <comment ref="E2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APELLIDO 1: En Mayuscula fija</t>
        </r>
      </text>
    </comment>
    <comment ref="F2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APELLIDO 2: En Mayuscula fija</t>
        </r>
      </text>
    </comment>
  </commentList>
</comments>
</file>

<file path=xl/sharedStrings.xml><?xml version="1.0" encoding="utf-8"?>
<sst xmlns="http://schemas.openxmlformats.org/spreadsheetml/2006/main" count="331" uniqueCount="228">
  <si>
    <t>EDAD</t>
  </si>
  <si>
    <t>DOCUMENTO DE IDENTIDAD</t>
  </si>
  <si>
    <t>NÚMERO</t>
  </si>
  <si>
    <t>PÓBLACIÓN BENEFICIADA</t>
  </si>
  <si>
    <t>1° NOMBRE</t>
  </si>
  <si>
    <t>2° NOMBRE</t>
  </si>
  <si>
    <t>1° APELLIDO</t>
  </si>
  <si>
    <t>2° APELLIDO</t>
  </si>
  <si>
    <t>CC</t>
  </si>
  <si>
    <t>M</t>
  </si>
  <si>
    <t>F</t>
  </si>
  <si>
    <t>Indígena</t>
  </si>
  <si>
    <t>Afrodescendiente</t>
  </si>
  <si>
    <t>Rom</t>
  </si>
  <si>
    <t>No Aplica</t>
  </si>
  <si>
    <t>G_INDIGENA</t>
  </si>
  <si>
    <t>C_Especial</t>
  </si>
  <si>
    <t>Indigente</t>
  </si>
  <si>
    <t>Reintegrado</t>
  </si>
  <si>
    <t>Otro</t>
  </si>
  <si>
    <t>No aplica</t>
  </si>
  <si>
    <t>sexo</t>
  </si>
  <si>
    <t>RC</t>
  </si>
  <si>
    <t>TI</t>
  </si>
  <si>
    <t>CE</t>
  </si>
  <si>
    <t>PA</t>
  </si>
  <si>
    <t>SD</t>
  </si>
  <si>
    <t>identifica</t>
  </si>
  <si>
    <t>NUI</t>
  </si>
  <si>
    <t>#</t>
  </si>
  <si>
    <t>SEXO</t>
  </si>
  <si>
    <t>CONDICION ESPECIAL</t>
  </si>
  <si>
    <t>ETNIAS</t>
  </si>
  <si>
    <t>REGISTRO CIVIL</t>
  </si>
  <si>
    <t>TARJETA DE IDENTIDAD</t>
  </si>
  <si>
    <t>CÉDULA DE CIUDADANÍA</t>
  </si>
  <si>
    <t>CPEDULA DE EXTRANJERÍA</t>
  </si>
  <si>
    <t>PASAPORTE</t>
  </si>
  <si>
    <t>SIN IDENTIFICACIÓN</t>
  </si>
  <si>
    <t>INDIGENTE</t>
  </si>
  <si>
    <t>AFRODESCENDIENTES</t>
  </si>
  <si>
    <t>ROM</t>
  </si>
  <si>
    <t>PRIMERA INFANCIA 0-5</t>
  </si>
  <si>
    <t>SEGUNDA INFANCIA 6-12</t>
  </si>
  <si>
    <t>ADOLESCENCIA 13-17</t>
  </si>
  <si>
    <t>JUVENTUD 18-24</t>
  </si>
  <si>
    <t>ADULTO MAYOR &gt;=60</t>
  </si>
  <si>
    <t>OTROS 25-60</t>
  </si>
  <si>
    <t>CÉDULA DE EXTRANJERÍA</t>
  </si>
  <si>
    <t>SIN DOCUMENTO</t>
  </si>
  <si>
    <t>Víctima</t>
  </si>
  <si>
    <t>MASCULINO</t>
  </si>
  <si>
    <t>FEMENINO</t>
  </si>
  <si>
    <t>SIN GRUPO ETNICO</t>
  </si>
  <si>
    <t>CONDICÓN ESPECIAL</t>
  </si>
  <si>
    <t>POBLACIÓN ATENDIDA POR PROYECTO Y ACTIVIDAD DEL PLAN DE DESARROLLO DEPARTAMENTAL</t>
  </si>
  <si>
    <t>HOJA</t>
  </si>
  <si>
    <t>DE</t>
  </si>
  <si>
    <t>DESMOVILIZADO</t>
  </si>
  <si>
    <t>REINTEGRADO</t>
  </si>
  <si>
    <t>ADOLESCENTE EMBARAZADA</t>
  </si>
  <si>
    <t>DESPLAZADO</t>
  </si>
  <si>
    <t>CONDICIÓN ESPECIAL</t>
  </si>
  <si>
    <t>PRIVADO DE LA LIBERTAD</t>
  </si>
  <si>
    <t>LGBTI</t>
  </si>
  <si>
    <t>REFUGIADO</t>
  </si>
  <si>
    <t>MIGRANTE</t>
  </si>
  <si>
    <t>RETORNADO</t>
  </si>
  <si>
    <t xml:space="preserve">OTRO </t>
  </si>
  <si>
    <t>SI</t>
  </si>
  <si>
    <t>LIBERTAD ASISTIDA</t>
  </si>
  <si>
    <r>
      <t xml:space="preserve">Nivel de Escolaridad
</t>
    </r>
    <r>
      <rPr>
        <sz val="8"/>
        <color theme="1"/>
        <rFont val="Arial"/>
        <family val="2"/>
      </rPr>
      <t>1,2,3,4,5,6,7,8,9</t>
    </r>
  </si>
  <si>
    <t>I-MB</t>
  </si>
  <si>
    <t>I-I</t>
  </si>
  <si>
    <t>I-U</t>
  </si>
  <si>
    <t>I-K</t>
  </si>
  <si>
    <t>I-FD</t>
  </si>
  <si>
    <t>R</t>
  </si>
  <si>
    <t>N/A</t>
  </si>
  <si>
    <t>NO</t>
  </si>
  <si>
    <r>
      <rPr>
        <b/>
        <sz val="8"/>
        <rFont val="Arial"/>
        <family val="2"/>
      </rPr>
      <t>SEXO</t>
    </r>
    <r>
      <rPr>
        <sz val="8"/>
        <rFont val="Arial"/>
        <family val="2"/>
      </rPr>
      <t xml:space="preserve">  M, F</t>
    </r>
  </si>
  <si>
    <t>VÍCTIMA</t>
  </si>
  <si>
    <t>DISCAPACIDAD</t>
  </si>
  <si>
    <r>
      <t xml:space="preserve">Fecha Nacimiento  
</t>
    </r>
    <r>
      <rPr>
        <sz val="8"/>
        <color theme="1"/>
        <rFont val="Arial"/>
        <family val="2"/>
      </rPr>
      <t>AAAA-mm-dd</t>
    </r>
  </si>
  <si>
    <t>INDÍGENA BARÍ</t>
  </si>
  <si>
    <t>INDÍGENA U´WA</t>
  </si>
  <si>
    <t>INDÍGENA INGA</t>
  </si>
  <si>
    <t>INDÍGENA KICHWA</t>
  </si>
  <si>
    <t>INDÍGENA FUERA DE NdS</t>
  </si>
  <si>
    <t>NIVEL DE ESCOLARIDAD</t>
  </si>
  <si>
    <t>TOTAL (verificador)</t>
  </si>
  <si>
    <t>1=SIN ESTUDIO</t>
  </si>
  <si>
    <t>2=PRIMARIA</t>
  </si>
  <si>
    <t>3=BACHILLERATO</t>
  </si>
  <si>
    <t>4=TÉCNICO / TECNÓLOGO</t>
  </si>
  <si>
    <t>5=PROFESIONAL</t>
  </si>
  <si>
    <t>8=DOCTORADO</t>
  </si>
  <si>
    <t>7=MAESTRÍA</t>
  </si>
  <si>
    <t>9=ANALFABETA</t>
  </si>
  <si>
    <t>6=ESPECIALIZACIÓN</t>
  </si>
  <si>
    <t>PDD:</t>
  </si>
  <si>
    <t>Dependencia:</t>
  </si>
  <si>
    <t>Suprograma PDD:</t>
  </si>
  <si>
    <t>Meta PDD:</t>
  </si>
  <si>
    <t>Proyecto:</t>
  </si>
  <si>
    <t>Actividad:</t>
  </si>
  <si>
    <t>Municipio:</t>
  </si>
  <si>
    <t>MÁS OPORTUNIDADES PARA TODOS</t>
  </si>
  <si>
    <t xml:space="preserve">Documento de Identidad: </t>
  </si>
  <si>
    <t xml:space="preserve">Grupo Étnico: </t>
  </si>
  <si>
    <t xml:space="preserve">Nivel de Escolaridad: </t>
  </si>
  <si>
    <r>
      <rPr>
        <b/>
        <sz val="8"/>
        <color theme="1"/>
        <rFont val="Arial"/>
        <family val="2"/>
      </rPr>
      <t xml:space="preserve">FECHA: </t>
    </r>
    <r>
      <rPr>
        <sz val="8"/>
        <color theme="1"/>
        <rFont val="Arial"/>
        <family val="2"/>
      </rPr>
      <t>(AAAA-mm-dd)</t>
    </r>
  </si>
  <si>
    <t>NARP</t>
  </si>
  <si>
    <r>
      <rPr>
        <b/>
        <sz val="8"/>
        <rFont val="Arial"/>
        <family val="2"/>
      </rPr>
      <t>Grupo Étnico</t>
    </r>
    <r>
      <rPr>
        <b/>
        <sz val="7"/>
        <rFont val="Arial"/>
        <family val="2"/>
      </rPr>
      <t xml:space="preserve">
</t>
    </r>
    <r>
      <rPr>
        <sz val="7"/>
        <rFont val="Arial"/>
        <family val="2"/>
      </rPr>
      <t>I-MB, I-U, I-I, I-K, I-FD, NARP, R, NA</t>
    </r>
  </si>
  <si>
    <t>Rubro:</t>
  </si>
  <si>
    <t>BPIN:</t>
  </si>
  <si>
    <r>
      <rPr>
        <b/>
        <sz val="8"/>
        <rFont val="Arial"/>
        <family val="2"/>
      </rPr>
      <t>NUI</t>
    </r>
    <r>
      <rPr>
        <sz val="8"/>
        <rFont val="Arial"/>
        <family val="2"/>
      </rPr>
      <t xml:space="preserve">=Número Único de Identificación, </t>
    </r>
    <r>
      <rPr>
        <b/>
        <sz val="8"/>
        <rFont val="Arial"/>
        <family val="2"/>
      </rPr>
      <t>RC</t>
    </r>
    <r>
      <rPr>
        <sz val="8"/>
        <rFont val="Arial"/>
        <family val="2"/>
      </rPr>
      <t xml:space="preserve">=Registro Civil, </t>
    </r>
    <r>
      <rPr>
        <b/>
        <sz val="8"/>
        <rFont val="Arial"/>
        <family val="2"/>
      </rPr>
      <t>TI</t>
    </r>
    <r>
      <rPr>
        <sz val="8"/>
        <rFont val="Arial"/>
        <family val="2"/>
      </rPr>
      <t xml:space="preserve">=Tarjeta de Identidad, </t>
    </r>
    <r>
      <rPr>
        <b/>
        <sz val="8"/>
        <rFont val="Arial"/>
        <family val="2"/>
      </rPr>
      <t>CC</t>
    </r>
    <r>
      <rPr>
        <sz val="8"/>
        <rFont val="Arial"/>
        <family val="2"/>
      </rPr>
      <t xml:space="preserve">=Cédula de Ciudadanía, </t>
    </r>
    <r>
      <rPr>
        <b/>
        <sz val="8"/>
        <rFont val="Arial"/>
        <family val="2"/>
      </rPr>
      <t>CE</t>
    </r>
    <r>
      <rPr>
        <sz val="8"/>
        <rFont val="Arial"/>
        <family val="2"/>
      </rPr>
      <t xml:space="preserve">=Cédula de Extranjería, </t>
    </r>
    <r>
      <rPr>
        <b/>
        <sz val="8"/>
        <rFont val="Arial"/>
        <family val="2"/>
      </rPr>
      <t>PA</t>
    </r>
    <r>
      <rPr>
        <sz val="8"/>
        <rFont val="Arial"/>
        <family val="2"/>
      </rPr>
      <t xml:space="preserve">=Pasaporte, </t>
    </r>
    <r>
      <rPr>
        <b/>
        <sz val="8"/>
        <rFont val="Arial"/>
        <family val="2"/>
      </rPr>
      <t>SD</t>
    </r>
    <r>
      <rPr>
        <sz val="8"/>
        <rFont val="Arial"/>
        <family val="2"/>
      </rPr>
      <t>=Sin Documento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</si>
  <si>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=Sin Estudio,</t>
    </r>
    <r>
      <rPr>
        <b/>
        <sz val="8"/>
        <rFont val="Arial"/>
        <family val="2"/>
      </rPr>
      <t xml:space="preserve"> 2</t>
    </r>
    <r>
      <rPr>
        <sz val="8"/>
        <rFont val="Arial"/>
        <family val="2"/>
      </rPr>
      <t xml:space="preserve">=Primaria, </t>
    </r>
    <r>
      <rPr>
        <b/>
        <sz val="8"/>
        <rFont val="Arial"/>
        <family val="2"/>
      </rPr>
      <t>3</t>
    </r>
    <r>
      <rPr>
        <sz val="8"/>
        <rFont val="Arial"/>
        <family val="2"/>
      </rPr>
      <t>=Bachillerato,</t>
    </r>
    <r>
      <rPr>
        <b/>
        <sz val="8"/>
        <rFont val="Arial"/>
        <family val="2"/>
      </rPr>
      <t xml:space="preserve"> 4</t>
    </r>
    <r>
      <rPr>
        <sz val="8"/>
        <rFont val="Arial"/>
        <family val="2"/>
      </rPr>
      <t xml:space="preserve">=Tecnico/Tecnòlogo, </t>
    </r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=Profesional, </t>
    </r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=Especialista,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=Magister, </t>
    </r>
    <r>
      <rPr>
        <b/>
        <sz val="8"/>
        <rFont val="Arial"/>
        <family val="2"/>
      </rPr>
      <t>8</t>
    </r>
    <r>
      <rPr>
        <sz val="8"/>
        <rFont val="Arial"/>
        <family val="2"/>
      </rPr>
      <t xml:space="preserve">=Doctor, </t>
    </r>
    <r>
      <rPr>
        <b/>
        <sz val="8"/>
        <rFont val="Arial"/>
        <family val="2"/>
      </rPr>
      <t>9</t>
    </r>
    <r>
      <rPr>
        <sz val="8"/>
        <rFont val="Arial"/>
        <family val="2"/>
      </rPr>
      <t>=Analfabeta</t>
    </r>
  </si>
  <si>
    <r>
      <t>Localización:</t>
    </r>
    <r>
      <rPr>
        <sz val="8"/>
        <color indexed="8"/>
        <rFont val="Arial"/>
        <family val="2"/>
      </rPr>
      <t>(Barrio-Corregimiento-Vereda)</t>
    </r>
  </si>
  <si>
    <r>
      <rPr>
        <b/>
        <sz val="8"/>
        <rFont val="Arial"/>
        <family val="2"/>
      </rPr>
      <t xml:space="preserve">Tipo:  </t>
    </r>
    <r>
      <rPr>
        <sz val="7"/>
        <rFont val="Arial"/>
        <family val="2"/>
      </rPr>
      <t>NUI, RC, TI, CC, CE, PA, SD</t>
    </r>
  </si>
  <si>
    <t>FORMATO PILI</t>
  </si>
  <si>
    <t>PROGRAMACIÓN E IDENTIFICACIÓN DE LOS INVOLUCRADOS</t>
  </si>
  <si>
    <r>
      <rPr>
        <b/>
        <sz val="8"/>
        <rFont val="Arial"/>
        <family val="2"/>
      </rPr>
      <t>I-MB</t>
    </r>
    <r>
      <rPr>
        <sz val="8"/>
        <rFont val="Arial"/>
        <family val="2"/>
      </rPr>
      <t xml:space="preserve">=Indig.Motilón Bari, </t>
    </r>
    <r>
      <rPr>
        <b/>
        <sz val="8"/>
        <rFont val="Arial"/>
        <family val="2"/>
      </rPr>
      <t>I-U</t>
    </r>
    <r>
      <rPr>
        <sz val="8"/>
        <rFont val="Arial"/>
        <family val="2"/>
      </rPr>
      <t xml:space="preserve">=Indíg.U´WA, </t>
    </r>
    <r>
      <rPr>
        <b/>
        <sz val="8"/>
        <rFont val="Arial"/>
        <family val="2"/>
      </rPr>
      <t>I-I</t>
    </r>
    <r>
      <rPr>
        <sz val="8"/>
        <rFont val="Arial"/>
        <family val="2"/>
      </rPr>
      <t>=Indíg.Inga,</t>
    </r>
    <r>
      <rPr>
        <b/>
        <sz val="8"/>
        <rFont val="Arial"/>
        <family val="2"/>
      </rPr>
      <t xml:space="preserve"> I-K</t>
    </r>
    <r>
      <rPr>
        <sz val="8"/>
        <rFont val="Arial"/>
        <family val="2"/>
      </rPr>
      <t>=Indíg.Kichwa,</t>
    </r>
    <r>
      <rPr>
        <b/>
        <sz val="8"/>
        <rFont val="Arial"/>
        <family val="2"/>
      </rPr>
      <t xml:space="preserve"> I-FD</t>
    </r>
    <r>
      <rPr>
        <sz val="8"/>
        <rFont val="Arial"/>
        <family val="2"/>
      </rPr>
      <t xml:space="preserve">=Indíg.fuera de NdS, </t>
    </r>
    <r>
      <rPr>
        <b/>
        <sz val="8"/>
        <rFont val="Arial"/>
        <family val="2"/>
      </rPr>
      <t>NARP</t>
    </r>
    <r>
      <rPr>
        <sz val="8"/>
        <rFont val="Arial"/>
        <family val="2"/>
      </rPr>
      <t xml:space="preserve">=Negro, Afrodescendiente, Raizal o Palenquero, </t>
    </r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=Rrom, </t>
    </r>
    <r>
      <rPr>
        <b/>
        <sz val="8"/>
        <rFont val="Arial"/>
        <family val="2"/>
      </rPr>
      <t>N/A</t>
    </r>
    <r>
      <rPr>
        <sz val="8"/>
        <rFont val="Arial"/>
        <family val="2"/>
      </rPr>
      <t>=No Aplica</t>
    </r>
  </si>
  <si>
    <t>LÍDER SOCIAL</t>
  </si>
  <si>
    <t>GRUPO ÉTNICO</t>
  </si>
  <si>
    <t>JAC</t>
  </si>
  <si>
    <t>JAL</t>
  </si>
  <si>
    <t>OTRO</t>
  </si>
  <si>
    <r>
      <t xml:space="preserve">CONDICIÓN ESPECIAL </t>
    </r>
    <r>
      <rPr>
        <sz val="8"/>
        <color theme="1"/>
        <rFont val="Arial"/>
        <family val="2"/>
      </rPr>
      <t>(SI-NO)</t>
    </r>
  </si>
  <si>
    <t>1- Acto terrorista / Atentados / Combates / Enfrentamientos /Hostigamientos</t>
  </si>
  <si>
    <t>2- Amenaza</t>
  </si>
  <si>
    <t>4- Desaparición forzada</t>
  </si>
  <si>
    <t>5- Desplazamiento forzado</t>
  </si>
  <si>
    <t>6- Homicidio</t>
  </si>
  <si>
    <t>7- Minas Antipersonal, Munición sin Explotar y Artefacto Explosivo improvisado</t>
  </si>
  <si>
    <t>8- Secuestro</t>
  </si>
  <si>
    <t>9- Tortura</t>
  </si>
  <si>
    <t>11- Abandono o Despojo Forzado de Tierras</t>
  </si>
  <si>
    <t>12- Pérdida de Bienes Muebles o Inmuebles</t>
  </si>
  <si>
    <t>13- Lesiones Personales Fisicas</t>
  </si>
  <si>
    <t>14- Lesiones Personales Psicologicas</t>
  </si>
  <si>
    <t>15- Confinamiento</t>
  </si>
  <si>
    <t>16- Sin informacion</t>
  </si>
  <si>
    <t>10- Vinculación de Niños Niñas y Adolescentes a Actividades Relacionadas con grupos armados</t>
  </si>
  <si>
    <r>
      <t>DISCAPACIDAD</t>
    </r>
    <r>
      <rPr>
        <sz val="8"/>
        <rFont val="Arial"/>
        <family val="2"/>
      </rPr>
      <t xml:space="preserve">  (si-no)</t>
    </r>
  </si>
  <si>
    <r>
      <t>Víctima</t>
    </r>
    <r>
      <rPr>
        <sz val="8"/>
        <rFont val="Arial"/>
        <family val="2"/>
      </rPr>
      <t xml:space="preserve">
1,2,3,4,5,6,7,8,9,10,11,12,13,14,15,16</t>
    </r>
  </si>
  <si>
    <t xml:space="preserve">Víctima: 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</si>
  <si>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=Acto terrorista/Atentados/Combates/Enfrentamientos/Hostigamientos, </t>
    </r>
    <r>
      <rPr>
        <b/>
        <sz val="8"/>
        <rFont val="Arial"/>
        <family val="2"/>
      </rPr>
      <t>2</t>
    </r>
    <r>
      <rPr>
        <sz val="8"/>
        <rFont val="Arial"/>
        <family val="2"/>
      </rPr>
      <t>=Amenaza,</t>
    </r>
    <r>
      <rPr>
        <b/>
        <sz val="8"/>
        <rFont val="Arial"/>
        <family val="2"/>
      </rPr>
      <t xml:space="preserve"> 3</t>
    </r>
    <r>
      <rPr>
        <sz val="8"/>
        <rFont val="Arial"/>
        <family val="2"/>
      </rPr>
      <t xml:space="preserve">=Delitos contra la libertad y la integridad sexual en desarrollo del conflicto, armado, </t>
    </r>
    <r>
      <rPr>
        <b/>
        <sz val="8"/>
        <rFont val="Arial"/>
        <family val="2"/>
      </rPr>
      <t>4</t>
    </r>
    <r>
      <rPr>
        <sz val="8"/>
        <rFont val="Arial"/>
        <family val="2"/>
      </rPr>
      <t xml:space="preserve">=Desaparición forzada, </t>
    </r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=Desplazamiento forzado, 
</t>
    </r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=Homicidio,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=Minas Antipersonal, Munición sin Explotar y Artefacto Explosivo improvisado, </t>
    </r>
    <r>
      <rPr>
        <b/>
        <sz val="8"/>
        <rFont val="Arial"/>
        <family val="2"/>
      </rPr>
      <t>8</t>
    </r>
    <r>
      <rPr>
        <sz val="8"/>
        <rFont val="Arial"/>
        <family val="2"/>
      </rPr>
      <t xml:space="preserve">=Secuestro, </t>
    </r>
    <r>
      <rPr>
        <b/>
        <sz val="8"/>
        <rFont val="Arial"/>
        <family val="2"/>
      </rPr>
      <t>9</t>
    </r>
    <r>
      <rPr>
        <sz val="8"/>
        <rFont val="Arial"/>
        <family val="2"/>
      </rPr>
      <t xml:space="preserve">=Tortura, </t>
    </r>
    <r>
      <rPr>
        <b/>
        <sz val="8"/>
        <rFont val="Arial"/>
        <family val="2"/>
      </rPr>
      <t>10</t>
    </r>
    <r>
      <rPr>
        <sz val="8"/>
        <rFont val="Arial"/>
        <family val="2"/>
      </rPr>
      <t xml:space="preserve">=Vinculación de Niños Niñas y Adolescentes a Actividades Relacionadas con grupos armados, 
</t>
    </r>
    <r>
      <rPr>
        <b/>
        <sz val="8"/>
        <rFont val="Arial"/>
        <family val="2"/>
      </rPr>
      <t>11</t>
    </r>
    <r>
      <rPr>
        <sz val="8"/>
        <rFont val="Arial"/>
        <family val="2"/>
      </rPr>
      <t xml:space="preserve">=Abandono o Despojo Forzado de Tierras, </t>
    </r>
    <r>
      <rPr>
        <b/>
        <sz val="8"/>
        <rFont val="Arial"/>
        <family val="2"/>
      </rPr>
      <t>12</t>
    </r>
    <r>
      <rPr>
        <sz val="8"/>
        <rFont val="Arial"/>
        <family val="2"/>
      </rPr>
      <t xml:space="preserve">=Pérdida de Bienes Muebles o Inmuebles, </t>
    </r>
    <r>
      <rPr>
        <b/>
        <sz val="8"/>
        <rFont val="Arial"/>
        <family val="2"/>
      </rPr>
      <t>13</t>
    </r>
    <r>
      <rPr>
        <sz val="8"/>
        <rFont val="Arial"/>
        <family val="2"/>
      </rPr>
      <t xml:space="preserve">=Lesiones Personales Fisicas, </t>
    </r>
    <r>
      <rPr>
        <b/>
        <sz val="8"/>
        <rFont val="Arial"/>
        <family val="2"/>
      </rPr>
      <t>14</t>
    </r>
    <r>
      <rPr>
        <sz val="8"/>
        <rFont val="Arial"/>
        <family val="2"/>
      </rPr>
      <t xml:space="preserve">=Lesiones Personales Psicologicas, </t>
    </r>
    <r>
      <rPr>
        <b/>
        <sz val="8"/>
        <rFont val="Arial"/>
        <family val="2"/>
      </rPr>
      <t>15</t>
    </r>
    <r>
      <rPr>
        <sz val="8"/>
        <rFont val="Arial"/>
        <family val="2"/>
      </rPr>
      <t xml:space="preserve">=Confinamiento, </t>
    </r>
    <r>
      <rPr>
        <b/>
        <sz val="8"/>
        <rFont val="Arial"/>
        <family val="2"/>
      </rPr>
      <t>16</t>
    </r>
    <r>
      <rPr>
        <sz val="8"/>
        <rFont val="Arial"/>
        <family val="2"/>
      </rPr>
      <t>=Sin informacion</t>
    </r>
  </si>
  <si>
    <t xml:space="preserve">Líder Social: </t>
  </si>
  <si>
    <r>
      <rPr>
        <b/>
        <sz val="8"/>
        <rFont val="Arial"/>
        <family val="2"/>
      </rPr>
      <t>JAC</t>
    </r>
    <r>
      <rPr>
        <sz val="8"/>
        <rFont val="Arial"/>
        <family val="2"/>
      </rPr>
      <t xml:space="preserve">=Junta de Acción Comunal, </t>
    </r>
    <r>
      <rPr>
        <b/>
        <sz val="8"/>
        <rFont val="Arial"/>
        <family val="2"/>
      </rPr>
      <t>JAL</t>
    </r>
    <r>
      <rPr>
        <sz val="8"/>
        <rFont val="Arial"/>
        <family val="2"/>
      </rPr>
      <t xml:space="preserve">=Junta Administradora Local,  </t>
    </r>
    <r>
      <rPr>
        <b/>
        <sz val="8"/>
        <rFont val="Arial"/>
        <family val="2"/>
      </rPr>
      <t>AMB</t>
    </r>
    <r>
      <rPr>
        <sz val="8"/>
        <rFont val="Arial"/>
        <family val="2"/>
      </rPr>
      <t xml:space="preserve">=Ambiental, </t>
    </r>
    <r>
      <rPr>
        <b/>
        <sz val="8"/>
        <rFont val="Arial"/>
        <family val="2"/>
      </rPr>
      <t>DH</t>
    </r>
    <r>
      <rPr>
        <sz val="8"/>
        <rFont val="Arial"/>
        <family val="2"/>
      </rPr>
      <t xml:space="preserve">= Defensor DDHH, </t>
    </r>
    <r>
      <rPr>
        <b/>
        <sz val="8"/>
        <rFont val="Arial"/>
        <family val="2"/>
      </rPr>
      <t>SIND</t>
    </r>
    <r>
      <rPr>
        <sz val="8"/>
        <rFont val="Arial"/>
        <family val="2"/>
      </rPr>
      <t xml:space="preserve">=Sindical, </t>
    </r>
    <r>
      <rPr>
        <b/>
        <sz val="8"/>
        <rFont val="Arial"/>
        <family val="2"/>
      </rPr>
      <t>REL=</t>
    </r>
    <r>
      <rPr>
        <sz val="8"/>
        <rFont val="Arial"/>
        <family val="2"/>
      </rPr>
      <t xml:space="preserve">Religioso, </t>
    </r>
    <r>
      <rPr>
        <b/>
        <sz val="8"/>
        <rFont val="Arial"/>
        <family val="2"/>
      </rPr>
      <t>OTR</t>
    </r>
    <r>
      <rPr>
        <sz val="8"/>
        <rFont val="Arial"/>
        <family val="2"/>
      </rPr>
      <t>=Otro</t>
    </r>
  </si>
  <si>
    <t xml:space="preserve">Ubicación - Procedencia: </t>
  </si>
  <si>
    <r>
      <rPr>
        <b/>
        <sz val="8"/>
        <color theme="1"/>
        <rFont val="Arial"/>
        <family val="2"/>
      </rPr>
      <t>RUR</t>
    </r>
    <r>
      <rPr>
        <sz val="8"/>
        <color theme="1"/>
        <rFont val="Arial"/>
        <family val="2"/>
      </rPr>
      <t xml:space="preserve">=Rural, </t>
    </r>
    <r>
      <rPr>
        <b/>
        <sz val="8"/>
        <color theme="1"/>
        <rFont val="Arial"/>
        <family val="2"/>
      </rPr>
      <t>URB</t>
    </r>
    <r>
      <rPr>
        <sz val="8"/>
        <color theme="1"/>
        <rFont val="Arial"/>
        <family val="2"/>
      </rPr>
      <t>=Urbano</t>
    </r>
  </si>
  <si>
    <r>
      <t xml:space="preserve">Ubicación - Procedencia
</t>
    </r>
    <r>
      <rPr>
        <sz val="8"/>
        <rFont val="Arial"/>
        <family val="2"/>
      </rPr>
      <t>RUR, URB</t>
    </r>
  </si>
  <si>
    <t>RURAL</t>
  </si>
  <si>
    <t>URBANO</t>
  </si>
  <si>
    <t>PROCEDENCIA</t>
  </si>
  <si>
    <t>PROCE
DENCIA</t>
  </si>
  <si>
    <t>JUNTA ACCIÓN COMUNAL</t>
  </si>
  <si>
    <t>JUNTA ADMINISTRADORA LOCAL</t>
  </si>
  <si>
    <t>AMBIENTAL</t>
  </si>
  <si>
    <t>DEFENSOR DE DERECHOS HUMANOS</t>
  </si>
  <si>
    <t>SINDICAL</t>
  </si>
  <si>
    <t>RELIGIOSO</t>
  </si>
  <si>
    <t>JUNTA DE ACCIÓN COMUNAL</t>
  </si>
  <si>
    <t>URB</t>
  </si>
  <si>
    <t>RUR</t>
  </si>
  <si>
    <r>
      <t xml:space="preserve">Líder Social
</t>
    </r>
    <r>
      <rPr>
        <sz val="8"/>
        <rFont val="Arial"/>
        <family val="2"/>
      </rPr>
      <t>JAC,JAL,AMB,DDHH,SIND,REL,OTR</t>
    </r>
  </si>
  <si>
    <t>AMB</t>
  </si>
  <si>
    <t>DDHH</t>
  </si>
  <si>
    <t>SIND</t>
  </si>
  <si>
    <t>REL</t>
  </si>
  <si>
    <t>OTR</t>
  </si>
  <si>
    <t>SIN CONDICIÓN DE VÍCTIMA</t>
  </si>
  <si>
    <t>SIN CONDICÓN DE LÍDER SOCIAL</t>
  </si>
  <si>
    <t>1 - Acto terrorista / Atentados / Combates / Enfrentamientos / Hostigamientos</t>
  </si>
  <si>
    <t>2 - Amenaza</t>
  </si>
  <si>
    <t>3 - Delitos contra la libertad y la integridad sexual en desarrollo del conflicto armado</t>
  </si>
  <si>
    <t>4 - Desaparición forzada</t>
  </si>
  <si>
    <t>5 - Desplazamiento forzado</t>
  </si>
  <si>
    <t>6 - Homicidio</t>
  </si>
  <si>
    <t>7 - Minas Antipersonal, Munición sin Explotar y Artefacto Explosivo improvisado</t>
  </si>
  <si>
    <t>8 - Secuestro</t>
  </si>
  <si>
    <t>9 - Tortura</t>
  </si>
  <si>
    <t>10 - Vinculación de Niños Niñas y Adolescentes a Actividades Relacionadas con grupos armados</t>
  </si>
  <si>
    <t>11 - Abandono o Despojo Forzado de Tierras</t>
  </si>
  <si>
    <t>12 - Pérdida de Bienes Muebles o Inmuebles</t>
  </si>
  <si>
    <t>13 - Lesiones Personales Fisicas</t>
  </si>
  <si>
    <t>14 - Lesiones Personales Psicologicas</t>
  </si>
  <si>
    <t>15 - Confinamiento</t>
  </si>
  <si>
    <t>16 - Sin informacion</t>
  </si>
  <si>
    <t>1 - SIN ESTUDIO</t>
  </si>
  <si>
    <t>2 - PRIMARIA</t>
  </si>
  <si>
    <t>3 - BACHILLERATO</t>
  </si>
  <si>
    <t>4 - TÉCNICO / TECNÓLOGO</t>
  </si>
  <si>
    <t>5 - PROFESIONAL</t>
  </si>
  <si>
    <t>6 - ESPECIALIZACIÓN</t>
  </si>
  <si>
    <t>7 - MAESTRÍA</t>
  </si>
  <si>
    <t>8 - DOCTORADO</t>
  </si>
  <si>
    <t>9 - ANALFABETA</t>
  </si>
  <si>
    <t>SIN GRUPO ÉTNICO</t>
  </si>
  <si>
    <t>3- Delitos contra la libertad y la integridad sexual en desarrollo del conflicto armado</t>
  </si>
  <si>
    <t xml:space="preserve">FORMATO PILI </t>
  </si>
  <si>
    <t>PROGRAMACIÓN E IDENTIFICACIÓN 
DE LOS INVOLUCRADOS</t>
  </si>
  <si>
    <t>PLAN DE DESARROLLO</t>
  </si>
  <si>
    <t>Actividad</t>
  </si>
  <si>
    <t>Localización</t>
  </si>
  <si>
    <t xml:space="preserve">INDIGENTE  </t>
  </si>
  <si>
    <t xml:space="preserve">REINTEGRADO  </t>
  </si>
  <si>
    <t xml:space="preserve">DESMOVILIZADO  </t>
  </si>
  <si>
    <t xml:space="preserve">ADOLESC. EMBARAZADA  </t>
  </si>
  <si>
    <t xml:space="preserve">DESPLAZADO  </t>
  </si>
  <si>
    <t xml:space="preserve">PRIVADO DE LA LIBERTAD  </t>
  </si>
  <si>
    <t xml:space="preserve">LIBERTAD ASISTIDA   </t>
  </si>
  <si>
    <t xml:space="preserve">LGBTIQ - NO BINARIO   </t>
  </si>
  <si>
    <t xml:space="preserve">MIGRANTE  </t>
  </si>
  <si>
    <t xml:space="preserve">REFUGIADO  </t>
  </si>
  <si>
    <t xml:space="preserve">RETORNADO  </t>
  </si>
  <si>
    <t xml:space="preserve">OTRO  </t>
  </si>
  <si>
    <t xml:space="preserve">APLICA  </t>
  </si>
  <si>
    <t>Dependencia</t>
  </si>
  <si>
    <t>BPIN</t>
  </si>
  <si>
    <t>Rubro</t>
  </si>
  <si>
    <t>Proyecto</t>
  </si>
  <si>
    <t>Municipio</t>
  </si>
  <si>
    <t>Meta PDD</t>
  </si>
  <si>
    <t>Suprograma
PDD</t>
  </si>
  <si>
    <t>Fecha</t>
  </si>
  <si>
    <t>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</si>
</sst>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_-* #,##0.00\ [$€]_-;\-* #,##0.00\ [$€]_-;_-* &quot;-&quot;??\ [$€]_-;_-@_-"/>
    <numFmt numFmtId="169" formatCode="yyyy\-mm\-dd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0" fontId="7" fillId="0" borderId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" borderId="17" applyProtection="0">
      <alignment vertical="center"/>
    </xf>
  </cellStyleXfs>
  <cellXfs count="540">
    <xf numFmtId="0" fontId="0" fillId="0" borderId="0" xfId="0"/>
    <xf numFmtId="0" fontId="10" fillId="0" borderId="0" xfId="0" applyFont="1"/>
    <xf numFmtId="0" fontId="1" fillId="0" borderId="0" xfId="0" applyFont="1"/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1"/>
    <xf numFmtId="0" fontId="3" fillId="0" borderId="0" xfId="1" applyFont="1" applyProtection="1"/>
    <xf numFmtId="0" fontId="6" fillId="0" borderId="0" xfId="1" applyFont="1" applyBorder="1" applyAlignment="1" applyProtection="1">
      <alignment horizontal="left" vertical="center"/>
    </xf>
    <xf numFmtId="0" fontId="7" fillId="0" borderId="0" xfId="1" applyProtection="1"/>
    <xf numFmtId="0" fontId="3" fillId="0" borderId="0" xfId="1" applyFont="1" applyFill="1" applyBorder="1" applyAlignment="1" applyProtection="1">
      <alignment horizontal="center" vertical="center" textRotation="90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/>
    <xf numFmtId="0" fontId="7" fillId="0" borderId="0" xfId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7" fillId="0" borderId="0" xfId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0" xfId="0" applyFont="1"/>
    <xf numFmtId="49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</xf>
    <xf numFmtId="0" fontId="7" fillId="0" borderId="0" xfId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/>
    <xf numFmtId="0" fontId="3" fillId="0" borderId="4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 wrapText="1"/>
    </xf>
    <xf numFmtId="0" fontId="4" fillId="0" borderId="19" xfId="0" applyFont="1" applyBorder="1" applyAlignment="1" applyProtection="1">
      <alignment horizontal="center" vertical="center" textRotation="90" wrapText="1"/>
    </xf>
    <xf numFmtId="0" fontId="4" fillId="0" borderId="5" xfId="0" applyFont="1" applyBorder="1" applyAlignment="1" applyProtection="1">
      <alignment horizontal="center" vertical="center" textRotation="90" wrapText="1"/>
    </xf>
    <xf numFmtId="0" fontId="4" fillId="0" borderId="9" xfId="0" applyFont="1" applyBorder="1" applyAlignment="1" applyProtection="1">
      <alignment horizontal="center" vertical="center" textRotation="90" wrapText="1"/>
    </xf>
    <xf numFmtId="0" fontId="4" fillId="0" borderId="9" xfId="0" applyFont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textRotation="90"/>
    </xf>
    <xf numFmtId="0" fontId="3" fillId="0" borderId="9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11" fillId="0" borderId="41" xfId="0" applyFont="1" applyBorder="1" applyAlignment="1" applyProtection="1">
      <alignment horizontal="center"/>
    </xf>
    <xf numFmtId="0" fontId="11" fillId="0" borderId="4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left" vertical="center" wrapText="1"/>
    </xf>
    <xf numFmtId="0" fontId="3" fillId="7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 vertical="center"/>
    </xf>
    <xf numFmtId="0" fontId="3" fillId="3" borderId="23" xfId="1" applyFont="1" applyFill="1" applyBorder="1" applyAlignment="1" applyProtection="1">
      <alignment horizontal="center" vertical="center" textRotation="90"/>
    </xf>
    <xf numFmtId="0" fontId="3" fillId="3" borderId="32" xfId="1" applyFont="1" applyFill="1" applyBorder="1" applyAlignment="1" applyProtection="1">
      <alignment horizontal="center" vertical="center" textRotation="90"/>
    </xf>
    <xf numFmtId="0" fontId="3" fillId="3" borderId="35" xfId="1" applyFont="1" applyFill="1" applyBorder="1" applyAlignment="1" applyProtection="1">
      <alignment horizontal="center" vertical="center" textRotation="90"/>
    </xf>
    <xf numFmtId="0" fontId="3" fillId="3" borderId="24" xfId="1" applyFont="1" applyFill="1" applyBorder="1" applyAlignment="1" applyProtection="1">
      <alignment horizontal="center" vertical="center" textRotation="90" wrapText="1"/>
    </xf>
    <xf numFmtId="0" fontId="3" fillId="3" borderId="6" xfId="1" applyFont="1" applyFill="1" applyBorder="1" applyAlignment="1" applyProtection="1">
      <alignment horizontal="center" vertical="center" textRotation="90" wrapText="1"/>
    </xf>
    <xf numFmtId="0" fontId="3" fillId="3" borderId="24" xfId="1" applyFont="1" applyFill="1" applyBorder="1" applyAlignment="1" applyProtection="1">
      <alignment horizontal="center" vertical="center" textRotation="90"/>
    </xf>
    <xf numFmtId="0" fontId="3" fillId="3" borderId="6" xfId="1" applyFont="1" applyFill="1" applyBorder="1" applyAlignment="1" applyProtection="1">
      <alignment horizontal="center" vertical="center" textRotation="90"/>
    </xf>
    <xf numFmtId="0" fontId="3" fillId="3" borderId="40" xfId="1" applyFont="1" applyFill="1" applyBorder="1" applyAlignment="1" applyProtection="1">
      <alignment horizontal="center" vertical="center" textRotation="90"/>
    </xf>
    <xf numFmtId="0" fontId="3" fillId="3" borderId="25" xfId="1" applyFont="1" applyFill="1" applyBorder="1" applyAlignment="1" applyProtection="1">
      <alignment horizontal="center" vertical="center" textRotation="90"/>
    </xf>
    <xf numFmtId="0" fontId="3" fillId="3" borderId="0" xfId="1" applyFont="1" applyFill="1" applyBorder="1" applyAlignment="1" applyProtection="1">
      <alignment horizontal="center" vertical="center" textRotation="90"/>
    </xf>
    <xf numFmtId="0" fontId="3" fillId="0" borderId="0" xfId="1" applyFont="1" applyFill="1" applyBorder="1" applyAlignment="1" applyProtection="1">
      <alignment horizontal="center" textRotation="90"/>
    </xf>
    <xf numFmtId="0" fontId="3" fillId="0" borderId="0" xfId="1" applyFont="1" applyFill="1" applyBorder="1" applyAlignment="1" applyProtection="1">
      <alignment textRotation="90" wrapText="1"/>
    </xf>
    <xf numFmtId="0" fontId="3" fillId="0" borderId="0" xfId="1" applyFont="1" applyBorder="1" applyAlignment="1" applyProtection="1">
      <alignment horizontal="center" textRotation="90"/>
    </xf>
    <xf numFmtId="0" fontId="3" fillId="0" borderId="0" xfId="1" applyFont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right" textRotation="90"/>
    </xf>
    <xf numFmtId="0" fontId="7" fillId="0" borderId="0" xfId="1" applyBorder="1"/>
    <xf numFmtId="0" fontId="3" fillId="0" borderId="5" xfId="1" applyFont="1" applyBorder="1" applyAlignment="1" applyProtection="1">
      <alignment horizontal="center" textRotation="90"/>
    </xf>
    <xf numFmtId="0" fontId="3" fillId="3" borderId="24" xfId="1" applyFont="1" applyFill="1" applyBorder="1" applyAlignment="1" applyProtection="1">
      <alignment horizontal="center" vertical="center" wrapText="1"/>
    </xf>
    <xf numFmtId="0" fontId="3" fillId="3" borderId="25" xfId="1" applyFont="1" applyFill="1" applyBorder="1" applyAlignment="1" applyProtection="1">
      <alignment horizontal="center" vertical="center" wrapText="1"/>
    </xf>
    <xf numFmtId="0" fontId="3" fillId="3" borderId="26" xfId="1" applyFont="1" applyFill="1" applyBorder="1" applyAlignment="1" applyProtection="1">
      <alignment horizontal="center" vertical="center" wrapText="1"/>
    </xf>
    <xf numFmtId="0" fontId="3" fillId="3" borderId="24" xfId="1" applyFont="1" applyFill="1" applyBorder="1" applyAlignment="1" applyProtection="1">
      <alignment horizontal="center" vertical="center"/>
    </xf>
    <xf numFmtId="0" fontId="3" fillId="3" borderId="26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3" borderId="40" xfId="1" applyFont="1" applyFill="1" applyBorder="1" applyAlignment="1" applyProtection="1">
      <alignment horizontal="center" vertical="center" textRotation="90" wrapText="1"/>
    </xf>
    <xf numFmtId="0" fontId="4" fillId="4" borderId="19" xfId="0" applyFont="1" applyFill="1" applyBorder="1" applyAlignment="1" applyProtection="1">
      <alignment horizontal="center" vertical="center" textRotation="90" wrapText="1"/>
    </xf>
    <xf numFmtId="0" fontId="4" fillId="4" borderId="5" xfId="0" applyFont="1" applyFill="1" applyBorder="1" applyAlignment="1" applyProtection="1">
      <alignment horizontal="center" vertical="center" textRotation="90" wrapText="1"/>
    </xf>
    <xf numFmtId="0" fontId="4" fillId="4" borderId="9" xfId="0" applyFont="1" applyFill="1" applyBorder="1" applyAlignment="1" applyProtection="1">
      <alignment horizontal="center" vertical="center" textRotation="90" wrapText="1"/>
    </xf>
    <xf numFmtId="0" fontId="13" fillId="4" borderId="19" xfId="0" applyFont="1" applyFill="1" applyBorder="1" applyAlignment="1" applyProtection="1">
      <alignment horizontal="center" vertical="center" textRotation="90" wrapText="1"/>
    </xf>
    <xf numFmtId="0" fontId="13" fillId="4" borderId="5" xfId="0" applyFont="1" applyFill="1" applyBorder="1" applyAlignment="1" applyProtection="1">
      <alignment horizontal="center" vertical="center" textRotation="90" wrapText="1"/>
    </xf>
    <xf numFmtId="0" fontId="13" fillId="4" borderId="9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right" vertical="center"/>
    </xf>
    <xf numFmtId="0" fontId="3" fillId="7" borderId="1" xfId="0" applyFont="1" applyFill="1" applyBorder="1" applyAlignment="1" applyProtection="1">
      <alignment horizontal="right" vertical="center"/>
    </xf>
    <xf numFmtId="0" fontId="4" fillId="7" borderId="2" xfId="0" applyFont="1" applyFill="1" applyBorder="1" applyAlignment="1" applyProtection="1">
      <alignment horizontal="right" vertical="center"/>
    </xf>
    <xf numFmtId="0" fontId="4" fillId="7" borderId="4" xfId="0" applyFont="1" applyFill="1" applyBorder="1" applyAlignment="1" applyProtection="1">
      <alignment horizontal="right" vertical="center"/>
    </xf>
    <xf numFmtId="0" fontId="3" fillId="3" borderId="43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9" borderId="43" xfId="1" applyFont="1" applyFill="1" applyBorder="1" applyAlignment="1" applyProtection="1">
      <alignment horizontal="center" vertical="center"/>
    </xf>
    <xf numFmtId="0" fontId="3" fillId="5" borderId="43" xfId="1" applyFont="1" applyFill="1" applyBorder="1" applyAlignment="1" applyProtection="1">
      <alignment horizontal="center" vertical="center"/>
    </xf>
    <xf numFmtId="0" fontId="3" fillId="9" borderId="18" xfId="1" applyFont="1" applyFill="1" applyBorder="1" applyAlignment="1" applyProtection="1">
      <alignment horizontal="center" vertical="center"/>
    </xf>
    <xf numFmtId="0" fontId="3" fillId="9" borderId="31" xfId="1" applyFont="1" applyFill="1" applyBorder="1" applyAlignment="1" applyProtection="1">
      <alignment horizontal="center" vertical="center"/>
    </xf>
    <xf numFmtId="0" fontId="3" fillId="5" borderId="27" xfId="1" applyFont="1" applyFill="1" applyBorder="1" applyAlignment="1" applyProtection="1">
      <alignment horizontal="center" vertical="center"/>
    </xf>
    <xf numFmtId="0" fontId="3" fillId="9" borderId="0" xfId="1" applyFont="1" applyFill="1" applyBorder="1" applyAlignment="1" applyProtection="1">
      <alignment horizontal="center" vertical="center"/>
    </xf>
    <xf numFmtId="0" fontId="3" fillId="5" borderId="40" xfId="1" applyFont="1" applyFill="1" applyBorder="1" applyAlignment="1" applyProtection="1">
      <alignment horizontal="center" vertical="center"/>
    </xf>
    <xf numFmtId="0" fontId="3" fillId="4" borderId="12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14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  <xf numFmtId="0" fontId="3" fillId="4" borderId="16" xfId="1" applyFont="1" applyFill="1" applyBorder="1" applyAlignment="1" applyProtection="1">
      <alignment horizontal="center" vertical="center"/>
    </xf>
    <xf numFmtId="0" fontId="3" fillId="4" borderId="17" xfId="1" applyFont="1" applyFill="1" applyBorder="1" applyAlignment="1" applyProtection="1">
      <alignment horizontal="center" vertical="center"/>
    </xf>
    <xf numFmtId="0" fontId="3" fillId="11" borderId="0" xfId="1" applyFont="1" applyFill="1" applyBorder="1" applyAlignment="1" applyProtection="1">
      <alignment horizontal="center" vertical="center"/>
    </xf>
    <xf numFmtId="0" fontId="3" fillId="11" borderId="36" xfId="1" applyFont="1" applyFill="1" applyBorder="1" applyAlignment="1" applyProtection="1">
      <alignment horizontal="center" vertical="center"/>
    </xf>
    <xf numFmtId="0" fontId="3" fillId="4" borderId="13" xfId="1" applyFont="1" applyFill="1" applyBorder="1" applyAlignment="1" applyProtection="1">
      <alignment horizontal="center" vertical="center"/>
    </xf>
    <xf numFmtId="0" fontId="3" fillId="4" borderId="11" xfId="1" applyFont="1" applyFill="1" applyBorder="1" applyAlignment="1" applyProtection="1">
      <alignment horizontal="center" vertical="center"/>
    </xf>
    <xf numFmtId="0" fontId="3" fillId="4" borderId="10" xfId="1" applyFont="1" applyFill="1" applyBorder="1" applyAlignment="1" applyProtection="1">
      <alignment horizontal="center" vertical="center"/>
    </xf>
    <xf numFmtId="0" fontId="3" fillId="7" borderId="12" xfId="1" applyFont="1" applyFill="1" applyBorder="1" applyAlignment="1" applyProtection="1">
      <alignment horizontal="center" vertical="center"/>
    </xf>
    <xf numFmtId="0" fontId="3" fillId="7" borderId="1" xfId="1" applyFont="1" applyFill="1" applyBorder="1" applyAlignment="1" applyProtection="1">
      <alignment horizontal="center" vertical="center"/>
    </xf>
    <xf numFmtId="0" fontId="3" fillId="7" borderId="14" xfId="1" applyFont="1" applyFill="1" applyBorder="1" applyAlignment="1" applyProtection="1">
      <alignment horizontal="center" vertical="center"/>
    </xf>
    <xf numFmtId="0" fontId="3" fillId="7" borderId="13" xfId="1" applyFont="1" applyFill="1" applyBorder="1" applyAlignment="1" applyProtection="1">
      <alignment horizontal="center" vertical="center"/>
    </xf>
    <xf numFmtId="0" fontId="3" fillId="12" borderId="12" xfId="1" applyFont="1" applyFill="1" applyBorder="1" applyAlignment="1" applyProtection="1">
      <alignment horizontal="center" vertical="center"/>
    </xf>
    <xf numFmtId="0" fontId="3" fillId="12" borderId="14" xfId="1" applyFont="1" applyFill="1" applyBorder="1" applyAlignment="1" applyProtection="1">
      <alignment horizontal="center" vertical="center"/>
    </xf>
    <xf numFmtId="0" fontId="3" fillId="12" borderId="1" xfId="1" applyFont="1" applyFill="1" applyBorder="1" applyAlignment="1" applyProtection="1">
      <alignment horizontal="center" vertical="center"/>
    </xf>
    <xf numFmtId="0" fontId="3" fillId="12" borderId="13" xfId="1" applyFont="1" applyFill="1" applyBorder="1" applyAlignment="1" applyProtection="1">
      <alignment horizontal="center" vertical="center"/>
    </xf>
    <xf numFmtId="0" fontId="3" fillId="6" borderId="21" xfId="1" applyFont="1" applyFill="1" applyBorder="1" applyAlignment="1" applyProtection="1">
      <alignment horizontal="center" vertical="center"/>
    </xf>
    <xf numFmtId="0" fontId="3" fillId="6" borderId="8" xfId="1" applyFont="1" applyFill="1" applyBorder="1" applyAlignment="1" applyProtection="1">
      <alignment horizontal="center" vertical="center"/>
    </xf>
    <xf numFmtId="0" fontId="3" fillId="6" borderId="11" xfId="1" applyFont="1" applyFill="1" applyBorder="1" applyAlignment="1" applyProtection="1">
      <alignment horizontal="center" vertical="center"/>
    </xf>
    <xf numFmtId="0" fontId="3" fillId="6" borderId="10" xfId="1" applyFont="1" applyFill="1" applyBorder="1" applyAlignment="1" applyProtection="1">
      <alignment horizontal="center" vertical="center"/>
    </xf>
    <xf numFmtId="0" fontId="3" fillId="4" borderId="11" xfId="1" applyFont="1" applyFill="1" applyBorder="1" applyAlignment="1" applyProtection="1">
      <alignment horizontal="center" textRotation="90"/>
    </xf>
    <xf numFmtId="0" fontId="3" fillId="4" borderId="16" xfId="1" applyFont="1" applyFill="1" applyBorder="1" applyAlignment="1" applyProtection="1">
      <alignment horizontal="center" textRotation="90"/>
    </xf>
    <xf numFmtId="0" fontId="3" fillId="12" borderId="11" xfId="1" applyFont="1" applyFill="1" applyBorder="1" applyAlignment="1" applyProtection="1">
      <alignment horizontal="center" textRotation="90"/>
    </xf>
    <xf numFmtId="0" fontId="3" fillId="12" borderId="16" xfId="1" applyFont="1" applyFill="1" applyBorder="1" applyAlignment="1" applyProtection="1">
      <alignment horizontal="center" textRotation="90"/>
    </xf>
    <xf numFmtId="0" fontId="3" fillId="6" borderId="8" xfId="1" applyFont="1" applyFill="1" applyBorder="1" applyAlignment="1" applyProtection="1">
      <alignment horizontal="center" textRotation="90"/>
    </xf>
    <xf numFmtId="0" fontId="3" fillId="6" borderId="15" xfId="1" applyFont="1" applyFill="1" applyBorder="1" applyAlignment="1" applyProtection="1">
      <alignment horizontal="center" textRotation="90"/>
    </xf>
    <xf numFmtId="0" fontId="3" fillId="7" borderId="11" xfId="1" applyFont="1" applyFill="1" applyBorder="1" applyAlignment="1" applyProtection="1">
      <alignment horizontal="center" textRotation="90"/>
    </xf>
    <xf numFmtId="0" fontId="3" fillId="7" borderId="16" xfId="1" applyFont="1" applyFill="1" applyBorder="1" applyAlignment="1" applyProtection="1">
      <alignment horizontal="center" textRotation="90"/>
    </xf>
    <xf numFmtId="0" fontId="3" fillId="4" borderId="10" xfId="1" applyFont="1" applyFill="1" applyBorder="1" applyAlignment="1" applyProtection="1">
      <alignment horizontal="center" textRotation="90"/>
    </xf>
    <xf numFmtId="0" fontId="3" fillId="4" borderId="17" xfId="1" applyFont="1" applyFill="1" applyBorder="1" applyAlignment="1" applyProtection="1">
      <alignment horizontal="center" textRotation="90"/>
    </xf>
    <xf numFmtId="0" fontId="3" fillId="6" borderId="12" xfId="1" applyFont="1" applyFill="1" applyBorder="1" applyAlignment="1" applyProtection="1">
      <alignment horizontal="center" vertical="center"/>
    </xf>
    <xf numFmtId="0" fontId="3" fillId="6" borderId="15" xfId="1" applyFont="1" applyFill="1" applyBorder="1" applyAlignment="1" applyProtection="1">
      <alignment horizontal="center" vertical="center"/>
    </xf>
    <xf numFmtId="0" fontId="3" fillId="12" borderId="11" xfId="1" applyFont="1" applyFill="1" applyBorder="1" applyAlignment="1" applyProtection="1">
      <alignment horizontal="center" vertical="center"/>
    </xf>
    <xf numFmtId="0" fontId="3" fillId="12" borderId="16" xfId="1" applyFont="1" applyFill="1" applyBorder="1" applyAlignment="1" applyProtection="1">
      <alignment horizontal="center" vertical="center"/>
    </xf>
    <xf numFmtId="0" fontId="3" fillId="7" borderId="11" xfId="1" applyFont="1" applyFill="1" applyBorder="1" applyAlignment="1" applyProtection="1">
      <alignment horizontal="center" vertical="center"/>
    </xf>
    <xf numFmtId="0" fontId="3" fillId="7" borderId="16" xfId="1" applyFont="1" applyFill="1" applyBorder="1" applyAlignment="1" applyProtection="1">
      <alignment horizontal="center" vertical="center"/>
    </xf>
    <xf numFmtId="0" fontId="3" fillId="13" borderId="17" xfId="1" applyFont="1" applyFill="1" applyBorder="1" applyAlignment="1" applyProtection="1">
      <alignment horizontal="center" vertical="center"/>
    </xf>
    <xf numFmtId="0" fontId="3" fillId="13" borderId="15" xfId="1" applyFont="1" applyFill="1" applyBorder="1" applyAlignment="1" applyProtection="1">
      <alignment horizontal="center" vertical="center"/>
    </xf>
    <xf numFmtId="0" fontId="3" fillId="13" borderId="16" xfId="1" applyFont="1" applyFill="1" applyBorder="1" applyAlignment="1" applyProtection="1">
      <alignment horizontal="center" vertical="center"/>
    </xf>
    <xf numFmtId="0" fontId="3" fillId="13" borderId="10" xfId="1" applyFont="1" applyFill="1" applyBorder="1" applyAlignment="1" applyProtection="1">
      <alignment horizontal="center" vertical="center"/>
    </xf>
    <xf numFmtId="0" fontId="3" fillId="6" borderId="22" xfId="1" applyFont="1" applyFill="1" applyBorder="1" applyAlignment="1" applyProtection="1">
      <alignment horizontal="center" vertical="center"/>
    </xf>
    <xf numFmtId="0" fontId="3" fillId="4" borderId="33" xfId="1" applyFont="1" applyFill="1" applyBorder="1" applyAlignment="1" applyProtection="1">
      <alignment horizontal="center" vertical="center"/>
    </xf>
    <xf numFmtId="0" fontId="3" fillId="4" borderId="34" xfId="1" applyFont="1" applyFill="1" applyBorder="1" applyAlignment="1" applyProtection="1">
      <alignment horizontal="center" vertical="center"/>
    </xf>
    <xf numFmtId="0" fontId="3" fillId="12" borderId="33" xfId="1" applyFont="1" applyFill="1" applyBorder="1" applyAlignment="1" applyProtection="1">
      <alignment horizontal="center" vertical="center"/>
    </xf>
    <xf numFmtId="0" fontId="3" fillId="7" borderId="33" xfId="1" applyFont="1" applyFill="1" applyBorder="1" applyAlignment="1" applyProtection="1">
      <alignment horizontal="center" vertical="center"/>
    </xf>
    <xf numFmtId="0" fontId="3" fillId="13" borderId="34" xfId="1" applyFont="1" applyFill="1" applyBorder="1" applyAlignment="1" applyProtection="1">
      <alignment horizontal="center" vertical="center"/>
    </xf>
    <xf numFmtId="0" fontId="3" fillId="13" borderId="14" xfId="1" applyFont="1" applyFill="1" applyBorder="1" applyAlignment="1" applyProtection="1">
      <alignment horizontal="center" vertical="center"/>
    </xf>
    <xf numFmtId="0" fontId="3" fillId="14" borderId="14" xfId="1" applyFont="1" applyFill="1" applyBorder="1" applyAlignment="1" applyProtection="1">
      <alignment horizontal="center" vertical="center"/>
    </xf>
    <xf numFmtId="0" fontId="3" fillId="15" borderId="14" xfId="1" applyFont="1" applyFill="1" applyBorder="1" applyAlignment="1" applyProtection="1">
      <alignment horizontal="center" vertical="center"/>
    </xf>
    <xf numFmtId="0" fontId="3" fillId="10" borderId="14" xfId="1" applyFont="1" applyFill="1" applyBorder="1" applyAlignment="1" applyProtection="1">
      <alignment horizontal="center" vertical="center"/>
    </xf>
    <xf numFmtId="0" fontId="3" fillId="13" borderId="33" xfId="1" applyFont="1" applyFill="1" applyBorder="1" applyAlignment="1" applyProtection="1">
      <alignment horizontal="center" vertical="center"/>
    </xf>
    <xf numFmtId="0" fontId="3" fillId="16" borderId="33" xfId="1" applyFont="1" applyFill="1" applyBorder="1" applyAlignment="1" applyProtection="1">
      <alignment horizontal="center" vertical="center"/>
    </xf>
    <xf numFmtId="0" fontId="3" fillId="15" borderId="33" xfId="1" applyFont="1" applyFill="1" applyBorder="1" applyAlignment="1" applyProtection="1">
      <alignment horizontal="center" vertical="center"/>
    </xf>
    <xf numFmtId="0" fontId="3" fillId="10" borderId="34" xfId="1" applyFont="1" applyFill="1" applyBorder="1" applyAlignment="1" applyProtection="1">
      <alignment horizontal="center" vertical="center"/>
    </xf>
    <xf numFmtId="0" fontId="3" fillId="13" borderId="12" xfId="1" applyFont="1" applyFill="1" applyBorder="1" applyAlignment="1" applyProtection="1">
      <alignment horizontal="center" vertical="center"/>
    </xf>
    <xf numFmtId="0" fontId="3" fillId="13" borderId="1" xfId="1" applyFont="1" applyFill="1" applyBorder="1" applyAlignment="1" applyProtection="1">
      <alignment horizontal="center" vertical="center"/>
    </xf>
    <xf numFmtId="0" fontId="3" fillId="14" borderId="12" xfId="1" applyFont="1" applyFill="1" applyBorder="1" applyAlignment="1" applyProtection="1">
      <alignment horizontal="center" vertical="center"/>
    </xf>
    <xf numFmtId="0" fontId="3" fillId="14" borderId="1" xfId="1" applyFont="1" applyFill="1" applyBorder="1" applyAlignment="1" applyProtection="1">
      <alignment horizontal="center" vertical="center"/>
    </xf>
    <xf numFmtId="0" fontId="3" fillId="15" borderId="12" xfId="1" applyFont="1" applyFill="1" applyBorder="1" applyAlignment="1" applyProtection="1">
      <alignment horizontal="center" vertical="center"/>
    </xf>
    <xf numFmtId="0" fontId="3" fillId="15" borderId="1" xfId="1" applyFont="1" applyFill="1" applyBorder="1" applyAlignment="1" applyProtection="1">
      <alignment horizontal="center" vertical="center"/>
    </xf>
    <xf numFmtId="0" fontId="3" fillId="10" borderId="15" xfId="1" applyFont="1" applyFill="1" applyBorder="1" applyAlignment="1" applyProtection="1">
      <alignment horizontal="center" vertical="center"/>
    </xf>
    <xf numFmtId="0" fontId="3" fillId="10" borderId="16" xfId="1" applyFont="1" applyFill="1" applyBorder="1" applyAlignment="1" applyProtection="1">
      <alignment horizontal="center" vertical="center"/>
    </xf>
    <xf numFmtId="0" fontId="3" fillId="10" borderId="17" xfId="1" applyFont="1" applyFill="1" applyBorder="1" applyAlignment="1" applyProtection="1">
      <alignment horizontal="center" vertical="center"/>
    </xf>
    <xf numFmtId="0" fontId="3" fillId="1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</xf>
    <xf numFmtId="0" fontId="3" fillId="0" borderId="16" xfId="1" applyFont="1" applyFill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center" vertical="center"/>
    </xf>
    <xf numFmtId="0" fontId="3" fillId="5" borderId="35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52" xfId="1" applyFont="1" applyBorder="1" applyAlignment="1" applyProtection="1">
      <alignment horizontal="center" vertical="center"/>
    </xf>
    <xf numFmtId="0" fontId="3" fillId="6" borderId="29" xfId="1" applyFont="1" applyFill="1" applyBorder="1" applyAlignment="1" applyProtection="1">
      <alignment horizontal="center" vertical="center"/>
    </xf>
    <xf numFmtId="0" fontId="3" fillId="6" borderId="30" xfId="1" applyFont="1" applyFill="1" applyBorder="1" applyAlignment="1" applyProtection="1">
      <alignment horizontal="center" vertical="center"/>
    </xf>
    <xf numFmtId="0" fontId="3" fillId="6" borderId="55" xfId="1" applyFont="1" applyFill="1" applyBorder="1" applyAlignment="1" applyProtection="1">
      <alignment horizontal="center" vertical="center"/>
    </xf>
    <xf numFmtId="0" fontId="3" fillId="6" borderId="31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</xf>
    <xf numFmtId="0" fontId="3" fillId="17" borderId="14" xfId="1" applyFont="1" applyFill="1" applyBorder="1" applyAlignment="1" applyProtection="1">
      <alignment horizontal="center" vertical="center"/>
    </xf>
    <xf numFmtId="0" fontId="3" fillId="6" borderId="8" xfId="1" applyFont="1" applyFill="1" applyBorder="1" applyAlignment="1" applyProtection="1">
      <alignment horizontal="center" vertical="center" wrapText="1"/>
    </xf>
    <xf numFmtId="0" fontId="3" fillId="12" borderId="12" xfId="1" applyFont="1" applyFill="1" applyBorder="1" applyAlignment="1" applyProtection="1">
      <alignment horizontal="center" vertical="center" wrapText="1"/>
    </xf>
    <xf numFmtId="49" fontId="3" fillId="13" borderId="12" xfId="1" applyNumberFormat="1" applyFont="1" applyFill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15" borderId="12" xfId="1" applyFont="1" applyFill="1" applyBorder="1" applyAlignment="1" applyProtection="1">
      <alignment horizontal="center" vertical="center" wrapText="1"/>
    </xf>
    <xf numFmtId="0" fontId="3" fillId="10" borderId="12" xfId="1" applyFont="1" applyFill="1" applyBorder="1" applyAlignment="1" applyProtection="1">
      <alignment horizontal="center" vertical="center" wrapText="1"/>
    </xf>
    <xf numFmtId="0" fontId="3" fillId="8" borderId="12" xfId="1" applyFont="1" applyFill="1" applyBorder="1" applyAlignment="1" applyProtection="1">
      <alignment horizontal="center" vertical="center" wrapText="1"/>
    </xf>
    <xf numFmtId="0" fontId="3" fillId="12" borderId="1" xfId="1" applyFont="1" applyFill="1" applyBorder="1" applyAlignment="1" applyProtection="1">
      <alignment horizontal="center" vertical="center" wrapText="1"/>
    </xf>
    <xf numFmtId="49" fontId="3" fillId="13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15" borderId="1" xfId="1" applyFont="1" applyFill="1" applyBorder="1" applyAlignment="1" applyProtection="1">
      <alignment horizontal="center" vertical="center" wrapText="1"/>
    </xf>
    <xf numFmtId="0" fontId="3" fillId="10" borderId="1" xfId="1" applyFont="1" applyFill="1" applyBorder="1" applyAlignment="1" applyProtection="1">
      <alignment horizontal="center" vertical="center" wrapText="1"/>
    </xf>
    <xf numFmtId="0" fontId="3" fillId="8" borderId="1" xfId="1" applyFont="1" applyFill="1" applyBorder="1" applyAlignment="1" applyProtection="1">
      <alignment horizontal="center" vertical="center" wrapText="1"/>
    </xf>
    <xf numFmtId="0" fontId="3" fillId="8" borderId="1" xfId="1" applyFont="1" applyFill="1" applyBorder="1" applyAlignment="1" applyProtection="1">
      <alignment horizontal="center" vertical="center"/>
    </xf>
    <xf numFmtId="0" fontId="3" fillId="6" borderId="11" xfId="1" applyFont="1" applyFill="1" applyBorder="1" applyAlignment="1" applyProtection="1">
      <alignment horizontal="center" vertical="center" wrapText="1"/>
    </xf>
    <xf numFmtId="0" fontId="3" fillId="6" borderId="10" xfId="1" applyFont="1" applyFill="1" applyBorder="1" applyAlignment="1" applyProtection="1">
      <alignment horizontal="center" vertical="center" wrapText="1"/>
    </xf>
    <xf numFmtId="0" fontId="3" fillId="12" borderId="14" xfId="1" applyFont="1" applyFill="1" applyBorder="1" applyAlignment="1" applyProtection="1">
      <alignment horizontal="center" vertical="center" wrapText="1"/>
    </xf>
    <xf numFmtId="49" fontId="3" fillId="13" borderId="14" xfId="1" applyNumberFormat="1" applyFont="1" applyFill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</xf>
    <xf numFmtId="0" fontId="3" fillId="15" borderId="14" xfId="1" applyFont="1" applyFill="1" applyBorder="1" applyAlignment="1" applyProtection="1">
      <alignment horizontal="center" vertical="center" wrapText="1"/>
    </xf>
    <xf numFmtId="0" fontId="3" fillId="10" borderId="14" xfId="1" applyFont="1" applyFill="1" applyBorder="1" applyAlignment="1" applyProtection="1">
      <alignment horizontal="center" vertical="center" wrapText="1"/>
    </xf>
    <xf numFmtId="0" fontId="3" fillId="8" borderId="14" xfId="1" applyFont="1" applyFill="1" applyBorder="1" applyAlignment="1" applyProtection="1">
      <alignment horizontal="center" vertical="center" wrapText="1"/>
    </xf>
    <xf numFmtId="0" fontId="3" fillId="17" borderId="16" xfId="1" applyFont="1" applyFill="1" applyBorder="1" applyAlignment="1" applyProtection="1">
      <alignment horizontal="center" vertical="center"/>
    </xf>
    <xf numFmtId="0" fontId="3" fillId="17" borderId="17" xfId="1" applyFont="1" applyFill="1" applyBorder="1" applyAlignment="1" applyProtection="1">
      <alignment horizontal="center" vertical="center"/>
    </xf>
    <xf numFmtId="0" fontId="3" fillId="12" borderId="30" xfId="1" applyFont="1" applyFill="1" applyBorder="1" applyAlignment="1" applyProtection="1">
      <alignment horizontal="center" vertical="center"/>
    </xf>
    <xf numFmtId="0" fontId="3" fillId="7" borderId="30" xfId="1" applyFont="1" applyFill="1" applyBorder="1" applyAlignment="1" applyProtection="1">
      <alignment horizontal="center" vertical="center"/>
    </xf>
    <xf numFmtId="0" fontId="3" fillId="13" borderId="31" xfId="1" applyFont="1" applyFill="1" applyBorder="1" applyAlignment="1" applyProtection="1">
      <alignment horizontal="center" vertical="center"/>
    </xf>
    <xf numFmtId="0" fontId="3" fillId="0" borderId="56" xfId="1" applyFont="1" applyBorder="1" applyAlignment="1" applyProtection="1">
      <alignment horizontal="center" vertical="center"/>
    </xf>
    <xf numFmtId="0" fontId="3" fillId="14" borderId="11" xfId="1" applyFont="1" applyFill="1" applyBorder="1" applyAlignment="1" applyProtection="1">
      <alignment horizontal="center" vertical="center"/>
    </xf>
    <xf numFmtId="0" fontId="3" fillId="15" borderId="11" xfId="1" applyFont="1" applyFill="1" applyBorder="1" applyAlignment="1" applyProtection="1">
      <alignment horizontal="center" vertical="center"/>
    </xf>
    <xf numFmtId="0" fontId="3" fillId="10" borderId="10" xfId="1" applyFont="1" applyFill="1" applyBorder="1" applyAlignment="1" applyProtection="1">
      <alignment horizontal="center" vertical="center"/>
    </xf>
    <xf numFmtId="0" fontId="3" fillId="4" borderId="30" xfId="1" applyFont="1" applyFill="1" applyBorder="1" applyAlignment="1" applyProtection="1">
      <alignment horizontal="center" vertical="center"/>
    </xf>
    <xf numFmtId="0" fontId="3" fillId="14" borderId="30" xfId="1" applyFont="1" applyFill="1" applyBorder="1" applyAlignment="1" applyProtection="1">
      <alignment horizontal="center" vertical="center"/>
    </xf>
    <xf numFmtId="0" fontId="3" fillId="15" borderId="30" xfId="1" applyFont="1" applyFill="1" applyBorder="1" applyAlignment="1" applyProtection="1">
      <alignment horizontal="center" vertical="center"/>
    </xf>
    <xf numFmtId="0" fontId="3" fillId="10" borderId="31" xfId="1" applyFont="1" applyFill="1" applyBorder="1" applyAlignment="1" applyProtection="1">
      <alignment horizontal="center" vertical="center"/>
    </xf>
    <xf numFmtId="0" fontId="3" fillId="13" borderId="11" xfId="1" applyFont="1" applyFill="1" applyBorder="1" applyAlignment="1" applyProtection="1">
      <alignment horizontal="center" vertical="center"/>
    </xf>
    <xf numFmtId="0" fontId="3" fillId="14" borderId="16" xfId="1" applyFont="1" applyFill="1" applyBorder="1" applyAlignment="1" applyProtection="1">
      <alignment horizontal="center" vertical="center"/>
    </xf>
    <xf numFmtId="0" fontId="3" fillId="15" borderId="16" xfId="1" applyFont="1" applyFill="1" applyBorder="1" applyAlignment="1" applyProtection="1">
      <alignment horizontal="center" vertical="center"/>
    </xf>
    <xf numFmtId="0" fontId="3" fillId="6" borderId="33" xfId="1" applyFont="1" applyFill="1" applyBorder="1" applyAlignment="1" applyProtection="1">
      <alignment horizontal="center" vertical="center"/>
    </xf>
    <xf numFmtId="0" fontId="3" fillId="6" borderId="34" xfId="1" applyFont="1" applyFill="1" applyBorder="1" applyAlignment="1" applyProtection="1">
      <alignment horizontal="center" vertical="center"/>
    </xf>
    <xf numFmtId="0" fontId="3" fillId="10" borderId="11" xfId="1" applyFont="1" applyFill="1" applyBorder="1" applyAlignment="1" applyProtection="1">
      <alignment horizontal="center" vertical="center"/>
    </xf>
    <xf numFmtId="0" fontId="3" fillId="8" borderId="11" xfId="1" applyFont="1" applyFill="1" applyBorder="1" applyAlignment="1" applyProtection="1">
      <alignment horizontal="center" vertical="center"/>
    </xf>
    <xf numFmtId="0" fontId="3" fillId="8" borderId="16" xfId="1" applyFont="1" applyFill="1" applyBorder="1" applyAlignment="1" applyProtection="1">
      <alignment horizontal="center" vertical="center"/>
    </xf>
    <xf numFmtId="0" fontId="3" fillId="17" borderId="10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textRotation="90"/>
    </xf>
    <xf numFmtId="0" fontId="3" fillId="12" borderId="1" xfId="1" applyFont="1" applyFill="1" applyBorder="1" applyAlignment="1" applyProtection="1">
      <alignment horizontal="center" textRotation="90"/>
    </xf>
    <xf numFmtId="0" fontId="3" fillId="7" borderId="1" xfId="1" applyFont="1" applyFill="1" applyBorder="1" applyAlignment="1" applyProtection="1">
      <alignment horizontal="center" textRotation="90"/>
    </xf>
    <xf numFmtId="0" fontId="3" fillId="13" borderId="1" xfId="1" applyFont="1" applyFill="1" applyBorder="1" applyAlignment="1" applyProtection="1">
      <alignment horizontal="center" textRotation="90"/>
    </xf>
    <xf numFmtId="0" fontId="3" fillId="13" borderId="10" xfId="1" applyFont="1" applyFill="1" applyBorder="1" applyAlignment="1" applyProtection="1">
      <alignment horizontal="center" textRotation="90"/>
    </xf>
    <xf numFmtId="0" fontId="3" fillId="13" borderId="17" xfId="1" applyFont="1" applyFill="1" applyBorder="1" applyAlignment="1" applyProtection="1">
      <alignment horizontal="center" textRotation="90"/>
    </xf>
    <xf numFmtId="0" fontId="3" fillId="0" borderId="11" xfId="1" applyFont="1" applyFill="1" applyBorder="1" applyAlignment="1" applyProtection="1">
      <alignment horizontal="center" textRotation="90" wrapText="1"/>
    </xf>
    <xf numFmtId="0" fontId="3" fillId="0" borderId="0" xfId="1" applyFont="1" applyBorder="1"/>
    <xf numFmtId="0" fontId="3" fillId="0" borderId="0" xfId="1" applyFont="1" applyBorder="1" applyProtection="1"/>
    <xf numFmtId="0" fontId="18" fillId="0" borderId="0" xfId="0" applyFont="1"/>
    <xf numFmtId="0" fontId="3" fillId="13" borderId="30" xfId="1" applyFont="1" applyFill="1" applyBorder="1" applyAlignment="1" applyProtection="1">
      <alignment horizontal="center" vertical="center"/>
    </xf>
    <xf numFmtId="49" fontId="3" fillId="13" borderId="11" xfId="1" applyNumberFormat="1" applyFont="1" applyFill="1" applyBorder="1" applyAlignment="1" applyProtection="1">
      <alignment horizontal="center" vertical="center"/>
    </xf>
    <xf numFmtId="49" fontId="3" fillId="13" borderId="1" xfId="1" applyNumberFormat="1" applyFont="1" applyFill="1" applyBorder="1" applyAlignment="1" applyProtection="1">
      <alignment horizontal="center" vertical="center"/>
    </xf>
    <xf numFmtId="49" fontId="3" fillId="13" borderId="16" xfId="1" applyNumberFormat="1" applyFont="1" applyFill="1" applyBorder="1" applyAlignment="1" applyProtection="1">
      <alignment horizontal="center" vertical="center"/>
    </xf>
    <xf numFmtId="0" fontId="3" fillId="3" borderId="26" xfId="1" applyFont="1" applyFill="1" applyBorder="1" applyAlignment="1" applyProtection="1">
      <alignment horizontal="center" vertical="center" textRotation="90"/>
    </xf>
    <xf numFmtId="0" fontId="3" fillId="3" borderId="7" xfId="1" applyFont="1" applyFill="1" applyBorder="1" applyAlignment="1" applyProtection="1">
      <alignment horizontal="center" vertical="center" textRotation="90"/>
    </xf>
    <xf numFmtId="0" fontId="3" fillId="3" borderId="39" xfId="1" applyFont="1" applyFill="1" applyBorder="1" applyAlignment="1" applyProtection="1">
      <alignment horizontal="center" vertical="center" textRotation="90"/>
    </xf>
    <xf numFmtId="0" fontId="3" fillId="3" borderId="39" xfId="1" applyFont="1" applyFill="1" applyBorder="1" applyAlignment="1" applyProtection="1">
      <alignment horizontal="center" vertical="center" textRotation="90" wrapText="1"/>
    </xf>
    <xf numFmtId="0" fontId="3" fillId="6" borderId="8" xfId="1" applyFont="1" applyFill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/>
    </xf>
    <xf numFmtId="0" fontId="3" fillId="12" borderId="12" xfId="1" applyFont="1" applyFill="1" applyBorder="1" applyAlignment="1" applyProtection="1">
      <alignment horizontal="center" vertical="center"/>
    </xf>
    <xf numFmtId="0" fontId="3" fillId="7" borderId="12" xfId="1" applyFont="1" applyFill="1" applyBorder="1" applyAlignment="1" applyProtection="1">
      <alignment horizontal="center" vertical="center"/>
    </xf>
    <xf numFmtId="0" fontId="3" fillId="9" borderId="29" xfId="1" applyFont="1" applyFill="1" applyBorder="1" applyAlignment="1" applyProtection="1">
      <alignment horizontal="center" vertical="center"/>
    </xf>
    <xf numFmtId="0" fontId="3" fillId="9" borderId="40" xfId="1" applyFont="1" applyFill="1" applyBorder="1" applyAlignment="1" applyProtection="1">
      <alignment horizontal="center" vertical="center"/>
    </xf>
    <xf numFmtId="0" fontId="3" fillId="9" borderId="52" xfId="1" applyFont="1" applyFill="1" applyBorder="1" applyAlignment="1" applyProtection="1">
      <alignment horizontal="center" vertical="center"/>
    </xf>
    <xf numFmtId="0" fontId="3" fillId="9" borderId="39" xfId="1" applyFont="1" applyFill="1" applyBorder="1" applyAlignment="1" applyProtection="1">
      <alignment horizontal="center" vertical="center"/>
    </xf>
    <xf numFmtId="0" fontId="3" fillId="3" borderId="52" xfId="1" applyFont="1" applyFill="1" applyBorder="1" applyAlignment="1" applyProtection="1">
      <alignment horizontal="center" vertical="center" textRotation="90"/>
    </xf>
    <xf numFmtId="0" fontId="3" fillId="4" borderId="1" xfId="1" applyFont="1" applyFill="1" applyBorder="1" applyAlignment="1" applyProtection="1">
      <alignment horizontal="center" vertical="center"/>
    </xf>
    <xf numFmtId="0" fontId="3" fillId="12" borderId="1" xfId="1" applyFont="1" applyFill="1" applyBorder="1" applyAlignment="1" applyProtection="1">
      <alignment horizontal="center" vertical="center"/>
    </xf>
    <xf numFmtId="0" fontId="3" fillId="7" borderId="1" xfId="1" applyFont="1" applyFill="1" applyBorder="1" applyAlignment="1" applyProtection="1">
      <alignment horizontal="center" vertical="center"/>
    </xf>
    <xf numFmtId="0" fontId="3" fillId="6" borderId="11" xfId="1" applyFont="1" applyFill="1" applyBorder="1" applyAlignment="1" applyProtection="1">
      <alignment horizontal="center" vertical="center"/>
    </xf>
    <xf numFmtId="0" fontId="3" fillId="13" borderId="1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 textRotation="90" wrapText="1"/>
    </xf>
    <xf numFmtId="0" fontId="3" fillId="3" borderId="0" xfId="1" applyFont="1" applyFill="1" applyBorder="1" applyAlignment="1" applyProtection="1">
      <alignment horizontal="center" vertical="center" textRotation="90" wrapText="1"/>
    </xf>
    <xf numFmtId="0" fontId="3" fillId="3" borderId="52" xfId="1" applyFont="1" applyFill="1" applyBorder="1" applyAlignment="1" applyProtection="1">
      <alignment horizontal="center" vertical="center" textRotation="90" wrapText="1"/>
    </xf>
    <xf numFmtId="0" fontId="3" fillId="13" borderId="1" xfId="1" applyFont="1" applyFill="1" applyBorder="1" applyAlignment="1" applyProtection="1">
      <alignment horizontal="center" vertical="center"/>
    </xf>
    <xf numFmtId="0" fontId="3" fillId="13" borderId="12" xfId="1" applyFont="1" applyFill="1" applyBorder="1" applyAlignment="1" applyProtection="1">
      <alignment horizontal="center" vertical="center"/>
    </xf>
    <xf numFmtId="0" fontId="3" fillId="4" borderId="45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7" borderId="45" xfId="1" applyFont="1" applyFill="1" applyBorder="1" applyAlignment="1" applyProtection="1">
      <alignment horizontal="center" vertical="center"/>
    </xf>
    <xf numFmtId="0" fontId="3" fillId="7" borderId="3" xfId="1" applyFont="1" applyFill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14" borderId="12" xfId="1" applyFont="1" applyFill="1" applyBorder="1" applyAlignment="1" applyProtection="1">
      <alignment horizontal="center" vertical="center"/>
    </xf>
    <xf numFmtId="0" fontId="3" fillId="15" borderId="12" xfId="1" applyFont="1" applyFill="1" applyBorder="1" applyAlignment="1" applyProtection="1">
      <alignment horizontal="center" vertical="center"/>
    </xf>
    <xf numFmtId="0" fontId="3" fillId="10" borderId="15" xfId="1" applyFont="1" applyFill="1" applyBorder="1" applyAlignment="1" applyProtection="1">
      <alignment horizontal="center" vertical="center"/>
    </xf>
    <xf numFmtId="0" fontId="3" fillId="14" borderId="1" xfId="1" applyFont="1" applyFill="1" applyBorder="1" applyAlignment="1" applyProtection="1">
      <alignment horizontal="center" vertical="center"/>
    </xf>
    <xf numFmtId="0" fontId="3" fillId="15" borderId="1" xfId="1" applyFont="1" applyFill="1" applyBorder="1" applyAlignment="1" applyProtection="1">
      <alignment horizontal="center" vertical="center"/>
    </xf>
    <xf numFmtId="0" fontId="3" fillId="9" borderId="27" xfId="1" applyFont="1" applyFill="1" applyBorder="1" applyAlignment="1" applyProtection="1">
      <alignment horizontal="center" vertical="center"/>
    </xf>
    <xf numFmtId="0" fontId="3" fillId="9" borderId="28" xfId="1" applyFont="1" applyFill="1" applyBorder="1" applyAlignment="1" applyProtection="1">
      <alignment horizontal="center" vertical="center"/>
    </xf>
    <xf numFmtId="0" fontId="3" fillId="6" borderId="8" xfId="1" applyFont="1" applyFill="1" applyBorder="1" applyAlignment="1" applyProtection="1">
      <alignment horizontal="center" vertical="center" wrapText="1"/>
    </xf>
    <xf numFmtId="0" fontId="3" fillId="12" borderId="12" xfId="1" applyFont="1" applyFill="1" applyBorder="1" applyAlignment="1" applyProtection="1">
      <alignment horizontal="center" vertical="center" wrapText="1"/>
    </xf>
    <xf numFmtId="49" fontId="3" fillId="13" borderId="12" xfId="1" applyNumberFormat="1" applyFont="1" applyFill="1" applyBorder="1" applyAlignment="1" applyProtection="1">
      <alignment horizontal="center" vertical="center" wrapText="1"/>
    </xf>
    <xf numFmtId="0" fontId="3" fillId="15" borderId="12" xfId="1" applyFont="1" applyFill="1" applyBorder="1" applyAlignment="1" applyProtection="1">
      <alignment horizontal="center" vertical="center" wrapText="1"/>
    </xf>
    <xf numFmtId="0" fontId="3" fillId="10" borderId="12" xfId="1" applyFont="1" applyFill="1" applyBorder="1" applyAlignment="1" applyProtection="1">
      <alignment horizontal="center" vertical="center" wrapText="1"/>
    </xf>
    <xf numFmtId="0" fontId="3" fillId="8" borderId="12" xfId="1" applyFont="1" applyFill="1" applyBorder="1" applyAlignment="1" applyProtection="1">
      <alignment horizontal="center" vertical="center" wrapText="1"/>
    </xf>
    <xf numFmtId="0" fontId="3" fillId="4" borderId="15" xfId="1" applyFont="1" applyFill="1" applyBorder="1" applyAlignment="1" applyProtection="1">
      <alignment horizontal="center" vertical="center"/>
    </xf>
    <xf numFmtId="0" fontId="3" fillId="12" borderId="1" xfId="1" applyFont="1" applyFill="1" applyBorder="1" applyAlignment="1" applyProtection="1">
      <alignment horizontal="center" vertical="center" wrapText="1"/>
    </xf>
    <xf numFmtId="0" fontId="3" fillId="12" borderId="3" xfId="1" applyFont="1" applyFill="1" applyBorder="1" applyAlignment="1" applyProtection="1">
      <alignment horizontal="center" vertical="center" wrapText="1"/>
    </xf>
    <xf numFmtId="49" fontId="3" fillId="13" borderId="1" xfId="1" applyNumberFormat="1" applyFont="1" applyFill="1" applyBorder="1" applyAlignment="1" applyProtection="1">
      <alignment horizontal="center" vertical="center" wrapText="1"/>
    </xf>
    <xf numFmtId="49" fontId="3" fillId="13" borderId="3" xfId="1" applyNumberFormat="1" applyFont="1" applyFill="1" applyBorder="1" applyAlignment="1" applyProtection="1">
      <alignment horizontal="center" vertical="center" wrapText="1"/>
    </xf>
    <xf numFmtId="0" fontId="3" fillId="6" borderId="44" xfId="1" applyFont="1" applyFill="1" applyBorder="1" applyAlignment="1" applyProtection="1">
      <alignment horizontal="center" vertical="center" wrapText="1"/>
    </xf>
    <xf numFmtId="0" fontId="3" fillId="6" borderId="57" xfId="1" applyFont="1" applyFill="1" applyBorder="1" applyAlignment="1" applyProtection="1">
      <alignment horizontal="center" vertical="center" wrapText="1"/>
    </xf>
    <xf numFmtId="0" fontId="3" fillId="12" borderId="45" xfId="1" applyFont="1" applyFill="1" applyBorder="1" applyAlignment="1" applyProtection="1">
      <alignment horizontal="center" vertical="center" wrapText="1"/>
    </xf>
    <xf numFmtId="49" fontId="3" fillId="13" borderId="45" xfId="1" applyNumberFormat="1" applyFont="1" applyFill="1" applyBorder="1" applyAlignment="1" applyProtection="1">
      <alignment horizontal="center" vertical="center" wrapText="1"/>
    </xf>
    <xf numFmtId="0" fontId="3" fillId="14" borderId="46" xfId="1" applyFont="1" applyFill="1" applyBorder="1" applyAlignment="1" applyProtection="1">
      <alignment horizontal="center" vertical="center"/>
    </xf>
    <xf numFmtId="0" fontId="3" fillId="14" borderId="51" xfId="1" applyFont="1" applyFill="1" applyBorder="1" applyAlignment="1" applyProtection="1">
      <alignment horizontal="center" vertical="center"/>
    </xf>
    <xf numFmtId="0" fontId="3" fillId="14" borderId="17" xfId="1" applyFont="1" applyFill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9" borderId="30" xfId="1" applyFont="1" applyFill="1" applyBorder="1" applyAlignment="1" applyProtection="1">
      <alignment horizontal="center" vertical="center"/>
    </xf>
    <xf numFmtId="0" fontId="3" fillId="9" borderId="53" xfId="1" applyFont="1" applyFill="1" applyBorder="1" applyAlignment="1" applyProtection="1">
      <alignment horizontal="center" vertical="center"/>
    </xf>
    <xf numFmtId="0" fontId="3" fillId="9" borderId="54" xfId="1" applyFont="1" applyFill="1" applyBorder="1" applyAlignment="1" applyProtection="1">
      <alignment horizontal="center" vertical="center"/>
    </xf>
    <xf numFmtId="0" fontId="3" fillId="10" borderId="16" xfId="1" applyFont="1" applyFill="1" applyBorder="1" applyAlignment="1" applyProtection="1">
      <alignment horizontal="center" vertical="center"/>
    </xf>
    <xf numFmtId="0" fontId="3" fillId="13" borderId="16" xfId="1" applyFont="1" applyFill="1" applyBorder="1" applyAlignment="1" applyProtection="1">
      <alignment horizontal="center" vertical="center"/>
    </xf>
    <xf numFmtId="0" fontId="3" fillId="4" borderId="16" xfId="1" applyFont="1" applyFill="1" applyBorder="1" applyAlignment="1" applyProtection="1">
      <alignment horizontal="center" vertical="center"/>
    </xf>
    <xf numFmtId="0" fontId="3" fillId="4" borderId="38" xfId="1" applyFont="1" applyFill="1" applyBorder="1" applyAlignment="1" applyProtection="1">
      <alignment horizontal="center" vertical="center"/>
    </xf>
    <xf numFmtId="0" fontId="19" fillId="6" borderId="8" xfId="1" applyFont="1" applyFill="1" applyBorder="1" applyAlignment="1" applyProtection="1">
      <alignment horizontal="center" vertical="center" wrapText="1"/>
    </xf>
    <xf numFmtId="0" fontId="19" fillId="6" borderId="11" xfId="1" applyFont="1" applyFill="1" applyBorder="1" applyAlignment="1" applyProtection="1">
      <alignment horizontal="center" vertical="center" wrapText="1"/>
    </xf>
    <xf numFmtId="0" fontId="19" fillId="6" borderId="10" xfId="1" applyFont="1" applyFill="1" applyBorder="1" applyAlignment="1" applyProtection="1">
      <alignment horizontal="center" vertical="center" wrapText="1"/>
    </xf>
    <xf numFmtId="0" fontId="19" fillId="4" borderId="15" xfId="1" applyFont="1" applyFill="1" applyBorder="1" applyAlignment="1" applyProtection="1">
      <alignment horizontal="center" vertical="center"/>
    </xf>
    <xf numFmtId="0" fontId="19" fillId="4" borderId="16" xfId="1" applyFont="1" applyFill="1" applyBorder="1" applyAlignment="1" applyProtection="1">
      <alignment horizontal="center" vertical="center"/>
    </xf>
    <xf numFmtId="0" fontId="19" fillId="4" borderId="17" xfId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15" borderId="1" xfId="1" applyFont="1" applyFill="1" applyBorder="1" applyAlignment="1" applyProtection="1">
      <alignment horizontal="center" vertical="center" wrapText="1"/>
    </xf>
    <xf numFmtId="0" fontId="3" fillId="10" borderId="1" xfId="1" applyFont="1" applyFill="1" applyBorder="1" applyAlignment="1" applyProtection="1">
      <alignment horizontal="center" vertical="center" wrapText="1"/>
    </xf>
    <xf numFmtId="0" fontId="3" fillId="8" borderId="1" xfId="1" applyFont="1" applyFill="1" applyBorder="1" applyAlignment="1" applyProtection="1">
      <alignment horizontal="center" vertical="center" wrapText="1"/>
    </xf>
    <xf numFmtId="0" fontId="3" fillId="6" borderId="11" xfId="1" applyFont="1" applyFill="1" applyBorder="1" applyAlignment="1" applyProtection="1">
      <alignment horizontal="center" vertical="center" wrapText="1"/>
    </xf>
    <xf numFmtId="0" fontId="3" fillId="13" borderId="13" xfId="1" applyFont="1" applyFill="1" applyBorder="1" applyAlignment="1" applyProtection="1">
      <alignment horizontal="center" vertical="center"/>
    </xf>
    <xf numFmtId="0" fontId="3" fillId="6" borderId="10" xfId="1" applyFont="1" applyFill="1" applyBorder="1" applyAlignment="1" applyProtection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/>
    </xf>
    <xf numFmtId="0" fontId="3" fillId="12" borderId="14" xfId="1" applyFont="1" applyFill="1" applyBorder="1" applyAlignment="1" applyProtection="1">
      <alignment horizontal="center" vertical="center" wrapText="1"/>
    </xf>
    <xf numFmtId="0" fontId="3" fillId="7" borderId="14" xfId="1" applyFont="1" applyFill="1" applyBorder="1" applyAlignment="1" applyProtection="1">
      <alignment horizontal="center" vertical="center"/>
    </xf>
    <xf numFmtId="49" fontId="3" fillId="13" borderId="14" xfId="1" applyNumberFormat="1" applyFont="1" applyFill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6" borderId="12" xfId="1" applyFont="1" applyFill="1" applyBorder="1" applyAlignment="1" applyProtection="1">
      <alignment horizontal="center" textRotation="90"/>
    </xf>
    <xf numFmtId="0" fontId="3" fillId="4" borderId="14" xfId="1" applyFont="1" applyFill="1" applyBorder="1" applyAlignment="1" applyProtection="1">
      <alignment horizontal="center" textRotation="90"/>
    </xf>
    <xf numFmtId="0" fontId="3" fillId="13" borderId="14" xfId="1" applyFont="1" applyFill="1" applyBorder="1" applyAlignment="1" applyProtection="1">
      <alignment horizontal="center" textRotation="90"/>
    </xf>
    <xf numFmtId="0" fontId="3" fillId="0" borderId="10" xfId="1" applyFont="1" applyFill="1" applyBorder="1" applyAlignment="1" applyProtection="1">
      <alignment horizontal="center" textRotation="90"/>
    </xf>
    <xf numFmtId="0" fontId="3" fillId="0" borderId="14" xfId="1" applyFont="1" applyFill="1" applyBorder="1" applyAlignment="1" applyProtection="1">
      <alignment horizontal="center" textRotation="90"/>
    </xf>
    <xf numFmtId="0" fontId="3" fillId="0" borderId="17" xfId="1" applyFont="1" applyFill="1" applyBorder="1" applyAlignment="1" applyProtection="1">
      <alignment horizontal="center" textRotation="90"/>
    </xf>
    <xf numFmtId="0" fontId="3" fillId="0" borderId="1" xfId="1" applyFont="1" applyBorder="1" applyAlignment="1" applyProtection="1">
      <alignment horizontal="center" textRotation="90"/>
    </xf>
    <xf numFmtId="0" fontId="3" fillId="14" borderId="1" xfId="1" applyFont="1" applyFill="1" applyBorder="1" applyAlignment="1" applyProtection="1">
      <alignment horizontal="center" textRotation="90"/>
    </xf>
    <xf numFmtId="0" fontId="3" fillId="15" borderId="1" xfId="1" applyFont="1" applyFill="1" applyBorder="1" applyAlignment="1" applyProtection="1">
      <alignment horizontal="center" textRotation="90"/>
    </xf>
    <xf numFmtId="0" fontId="3" fillId="13" borderId="11" xfId="1" applyFont="1" applyFill="1" applyBorder="1" applyAlignment="1" applyProtection="1">
      <alignment horizontal="center" textRotation="90"/>
    </xf>
    <xf numFmtId="0" fontId="3" fillId="0" borderId="11" xfId="1" applyFont="1" applyBorder="1" applyAlignment="1" applyProtection="1">
      <alignment horizontal="center" textRotation="90"/>
    </xf>
    <xf numFmtId="0" fontId="3" fillId="14" borderId="11" xfId="1" applyFont="1" applyFill="1" applyBorder="1" applyAlignment="1" applyProtection="1">
      <alignment horizontal="center" textRotation="90"/>
    </xf>
    <xf numFmtId="0" fontId="3" fillId="15" borderId="11" xfId="1" applyFont="1" applyFill="1" applyBorder="1" applyAlignment="1" applyProtection="1">
      <alignment horizontal="center" textRotation="90"/>
    </xf>
    <xf numFmtId="0" fontId="3" fillId="10" borderId="10" xfId="1" applyFont="1" applyFill="1" applyBorder="1" applyAlignment="1" applyProtection="1">
      <alignment horizontal="center" textRotation="90"/>
    </xf>
    <xf numFmtId="0" fontId="3" fillId="10" borderId="14" xfId="1" applyFont="1" applyFill="1" applyBorder="1" applyAlignment="1" applyProtection="1">
      <alignment horizontal="center" textRotation="90"/>
    </xf>
    <xf numFmtId="0" fontId="3" fillId="13" borderId="16" xfId="1" applyFont="1" applyFill="1" applyBorder="1" applyAlignment="1" applyProtection="1">
      <alignment horizontal="center" textRotation="90"/>
    </xf>
    <xf numFmtId="0" fontId="3" fillId="0" borderId="16" xfId="1" applyFont="1" applyBorder="1" applyAlignment="1" applyProtection="1">
      <alignment horizontal="center" textRotation="90"/>
    </xf>
    <xf numFmtId="0" fontId="3" fillId="14" borderId="16" xfId="1" applyFont="1" applyFill="1" applyBorder="1" applyAlignment="1" applyProtection="1">
      <alignment horizontal="center" textRotation="90"/>
    </xf>
    <xf numFmtId="0" fontId="3" fillId="15" borderId="16" xfId="1" applyFont="1" applyFill="1" applyBorder="1" applyAlignment="1" applyProtection="1">
      <alignment horizontal="center" textRotation="90"/>
    </xf>
    <xf numFmtId="0" fontId="3" fillId="10" borderId="17" xfId="1" applyFont="1" applyFill="1" applyBorder="1" applyAlignment="1" applyProtection="1">
      <alignment horizontal="center" textRotation="90"/>
    </xf>
    <xf numFmtId="0" fontId="3" fillId="0" borderId="24" xfId="1" applyFont="1" applyBorder="1" applyProtection="1"/>
    <xf numFmtId="0" fontId="3" fillId="0" borderId="25" xfId="1" applyFont="1" applyBorder="1" applyProtection="1"/>
    <xf numFmtId="0" fontId="3" fillId="0" borderId="26" xfId="1" applyFont="1" applyBorder="1" applyProtection="1"/>
    <xf numFmtId="0" fontId="4" fillId="0" borderId="6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vertical="top" wrapText="1"/>
    </xf>
    <xf numFmtId="0" fontId="4" fillId="0" borderId="6" xfId="1" applyFont="1" applyBorder="1" applyAlignment="1" applyProtection="1">
      <alignment horizontal="center" vertical="top" wrapText="1"/>
    </xf>
    <xf numFmtId="0" fontId="4" fillId="0" borderId="7" xfId="1" applyFont="1" applyBorder="1" applyAlignment="1" applyProtection="1">
      <alignment horizontal="center" vertical="top" wrapText="1"/>
    </xf>
    <xf numFmtId="0" fontId="4" fillId="0" borderId="40" xfId="1" applyFont="1" applyBorder="1" applyAlignment="1" applyProtection="1">
      <alignment horizontal="center" vertical="top" wrapText="1"/>
    </xf>
    <xf numFmtId="0" fontId="4" fillId="0" borderId="52" xfId="1" applyFont="1" applyBorder="1" applyAlignment="1" applyProtection="1">
      <alignment horizontal="center" vertical="top" wrapText="1"/>
    </xf>
    <xf numFmtId="0" fontId="4" fillId="0" borderId="39" xfId="1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textRotation="90"/>
    </xf>
    <xf numFmtId="0" fontId="3" fillId="0" borderId="9" xfId="1" applyFont="1" applyBorder="1" applyAlignment="1" applyProtection="1">
      <alignment horizontal="center" textRotation="90"/>
    </xf>
    <xf numFmtId="0" fontId="3" fillId="0" borderId="1" xfId="1" applyFont="1" applyBorder="1" applyAlignment="1" applyProtection="1">
      <alignment horizontal="center" textRotation="90" wrapText="1"/>
    </xf>
    <xf numFmtId="0" fontId="3" fillId="0" borderId="19" xfId="1" applyFont="1" applyBorder="1" applyAlignment="1" applyProtection="1">
      <alignment horizontal="center" textRotation="90" wrapText="1"/>
    </xf>
    <xf numFmtId="0" fontId="3" fillId="0" borderId="5" xfId="1" applyFont="1" applyBorder="1" applyAlignment="1" applyProtection="1">
      <alignment horizontal="center" textRotation="90" wrapText="1"/>
    </xf>
    <xf numFmtId="0" fontId="3" fillId="0" borderId="9" xfId="1" applyFont="1" applyBorder="1" applyAlignment="1" applyProtection="1">
      <alignment horizontal="center" textRotation="90" wrapText="1"/>
    </xf>
    <xf numFmtId="0" fontId="4" fillId="0" borderId="6" xfId="1" applyFont="1" applyBorder="1" applyAlignment="1" applyProtection="1">
      <alignment vertical="top" wrapText="1"/>
    </xf>
    <xf numFmtId="0" fontId="4" fillId="0" borderId="7" xfId="1" applyFont="1" applyBorder="1" applyAlignment="1" applyProtection="1">
      <alignment vertical="top" wrapText="1"/>
    </xf>
    <xf numFmtId="0" fontId="16" fillId="0" borderId="6" xfId="1" applyFont="1" applyBorder="1" applyAlignment="1" applyProtection="1">
      <alignment horizontal="center"/>
    </xf>
    <xf numFmtId="0" fontId="16" fillId="0" borderId="0" xfId="1" applyFont="1" applyBorder="1" applyAlignment="1" applyProtection="1">
      <alignment horizontal="center"/>
    </xf>
    <xf numFmtId="0" fontId="16" fillId="0" borderId="7" xfId="1" applyFont="1" applyBorder="1" applyAlignment="1" applyProtection="1">
      <alignment horizontal="center"/>
    </xf>
    <xf numFmtId="0" fontId="20" fillId="0" borderId="6" xfId="1" applyFont="1" applyBorder="1" applyAlignment="1" applyProtection="1">
      <alignment horizontal="center" vertical="top" wrapText="1"/>
    </xf>
    <xf numFmtId="0" fontId="20" fillId="0" borderId="0" xfId="1" applyFont="1" applyBorder="1" applyAlignment="1" applyProtection="1">
      <alignment horizontal="center" vertical="top" wrapText="1"/>
    </xf>
    <xf numFmtId="0" fontId="20" fillId="0" borderId="7" xfId="1" applyFont="1" applyBorder="1" applyAlignment="1" applyProtection="1">
      <alignment horizontal="center" vertical="top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textRotation="90" wrapText="1"/>
    </xf>
    <xf numFmtId="0" fontId="3" fillId="12" borderId="1" xfId="1" applyFont="1" applyFill="1" applyBorder="1" applyAlignment="1" applyProtection="1">
      <alignment horizontal="center" textRotation="90" wrapText="1"/>
    </xf>
    <xf numFmtId="0" fontId="3" fillId="7" borderId="1" xfId="1" applyFont="1" applyFill="1" applyBorder="1" applyAlignment="1" applyProtection="1">
      <alignment horizontal="center" textRotation="90" wrapText="1"/>
    </xf>
    <xf numFmtId="0" fontId="3" fillId="13" borderId="1" xfId="1" applyFont="1" applyFill="1" applyBorder="1" applyAlignment="1" applyProtection="1">
      <alignment horizontal="center" textRotation="90" wrapText="1"/>
    </xf>
    <xf numFmtId="0" fontId="3" fillId="14" borderId="1" xfId="1" applyFont="1" applyFill="1" applyBorder="1" applyAlignment="1" applyProtection="1">
      <alignment horizontal="center" textRotation="90" wrapText="1"/>
    </xf>
    <xf numFmtId="0" fontId="3" fillId="6" borderId="8" xfId="1" applyFont="1" applyFill="1" applyBorder="1" applyAlignment="1" applyProtection="1">
      <alignment horizontal="center" textRotation="90" wrapText="1"/>
    </xf>
    <xf numFmtId="0" fontId="3" fillId="4" borderId="11" xfId="1" applyFont="1" applyFill="1" applyBorder="1" applyAlignment="1" applyProtection="1">
      <alignment horizontal="center" textRotation="90" wrapText="1"/>
    </xf>
    <xf numFmtId="0" fontId="3" fillId="12" borderId="11" xfId="1" applyFont="1" applyFill="1" applyBorder="1" applyAlignment="1" applyProtection="1">
      <alignment horizontal="center" textRotation="90" wrapText="1"/>
    </xf>
    <xf numFmtId="0" fontId="3" fillId="7" borderId="11" xfId="1" applyFont="1" applyFill="1" applyBorder="1" applyAlignment="1" applyProtection="1">
      <alignment horizontal="center" textRotation="90" wrapText="1"/>
    </xf>
    <xf numFmtId="0" fontId="3" fillId="13" borderId="11" xfId="1" applyFont="1" applyFill="1" applyBorder="1" applyAlignment="1" applyProtection="1">
      <alignment horizontal="center" textRotation="90" wrapText="1"/>
    </xf>
    <xf numFmtId="0" fontId="3" fillId="0" borderId="11" xfId="1" applyFont="1" applyBorder="1" applyAlignment="1" applyProtection="1">
      <alignment horizontal="center" textRotation="90" wrapText="1"/>
    </xf>
    <xf numFmtId="0" fontId="3" fillId="14" borderId="10" xfId="1" applyFont="1" applyFill="1" applyBorder="1" applyAlignment="1" applyProtection="1">
      <alignment horizontal="center" textRotation="90" wrapText="1"/>
    </xf>
    <xf numFmtId="0" fontId="3" fillId="6" borderId="12" xfId="1" applyFont="1" applyFill="1" applyBorder="1" applyAlignment="1" applyProtection="1">
      <alignment horizontal="center" textRotation="90" wrapText="1"/>
    </xf>
    <xf numFmtId="0" fontId="3" fillId="14" borderId="14" xfId="1" applyFont="1" applyFill="1" applyBorder="1" applyAlignment="1" applyProtection="1">
      <alignment horizontal="center" textRotation="90" wrapText="1"/>
    </xf>
    <xf numFmtId="0" fontId="3" fillId="6" borderId="15" xfId="1" applyFont="1" applyFill="1" applyBorder="1" applyAlignment="1" applyProtection="1">
      <alignment horizontal="center" textRotation="90" wrapText="1"/>
    </xf>
    <xf numFmtId="0" fontId="3" fillId="4" borderId="16" xfId="1" applyFont="1" applyFill="1" applyBorder="1" applyAlignment="1" applyProtection="1">
      <alignment horizontal="center" textRotation="90" wrapText="1"/>
    </xf>
    <xf numFmtId="0" fontId="3" fillId="12" borderId="16" xfId="1" applyFont="1" applyFill="1" applyBorder="1" applyAlignment="1" applyProtection="1">
      <alignment horizontal="center" textRotation="90" wrapText="1"/>
    </xf>
    <xf numFmtId="0" fontId="3" fillId="7" borderId="16" xfId="1" applyFont="1" applyFill="1" applyBorder="1" applyAlignment="1" applyProtection="1">
      <alignment horizontal="center" textRotation="90" wrapText="1"/>
    </xf>
    <xf numFmtId="0" fontId="3" fillId="13" borderId="16" xfId="1" applyFont="1" applyFill="1" applyBorder="1" applyAlignment="1" applyProtection="1">
      <alignment horizontal="center" textRotation="90" wrapText="1"/>
    </xf>
    <xf numFmtId="0" fontId="3" fillId="0" borderId="16" xfId="1" applyFont="1" applyBorder="1" applyAlignment="1" applyProtection="1">
      <alignment horizontal="center" textRotation="90" wrapText="1"/>
    </xf>
    <xf numFmtId="0" fontId="3" fillId="14" borderId="17" xfId="1" applyFont="1" applyFill="1" applyBorder="1" applyAlignment="1" applyProtection="1">
      <alignment horizontal="center" textRotation="90" wrapText="1"/>
    </xf>
    <xf numFmtId="0" fontId="3" fillId="15" borderId="1" xfId="1" applyFont="1" applyFill="1" applyBorder="1" applyAlignment="1" applyProtection="1">
      <alignment horizontal="center" textRotation="90" wrapText="1"/>
    </xf>
    <xf numFmtId="0" fontId="3" fillId="10" borderId="1" xfId="1" applyFont="1" applyFill="1" applyBorder="1" applyAlignment="1" applyProtection="1">
      <alignment horizontal="center" textRotation="90" wrapText="1"/>
    </xf>
    <xf numFmtId="0" fontId="3" fillId="0" borderId="1" xfId="1" applyFont="1" applyFill="1" applyBorder="1" applyAlignment="1" applyProtection="1">
      <alignment horizontal="center" textRotation="90" wrapText="1"/>
    </xf>
    <xf numFmtId="0" fontId="3" fillId="8" borderId="1" xfId="1" applyFont="1" applyFill="1" applyBorder="1" applyAlignment="1" applyProtection="1">
      <alignment horizontal="center" textRotation="90" wrapText="1"/>
    </xf>
    <xf numFmtId="0" fontId="3" fillId="14" borderId="11" xfId="1" applyFont="1" applyFill="1" applyBorder="1" applyAlignment="1" applyProtection="1">
      <alignment horizontal="center" textRotation="90" wrapText="1"/>
    </xf>
    <xf numFmtId="0" fontId="3" fillId="15" borderId="11" xfId="1" applyFont="1" applyFill="1" applyBorder="1" applyAlignment="1" applyProtection="1">
      <alignment horizontal="center" textRotation="90" wrapText="1"/>
    </xf>
    <xf numFmtId="0" fontId="3" fillId="10" borderId="11" xfId="1" applyFont="1" applyFill="1" applyBorder="1" applyAlignment="1" applyProtection="1">
      <alignment horizontal="center" textRotation="90" wrapText="1"/>
    </xf>
    <xf numFmtId="0" fontId="3" fillId="8" borderId="11" xfId="1" applyFont="1" applyFill="1" applyBorder="1" applyAlignment="1" applyProtection="1">
      <alignment horizontal="center" textRotation="90" wrapText="1"/>
    </xf>
    <xf numFmtId="0" fontId="3" fillId="17" borderId="10" xfId="1" applyFont="1" applyFill="1" applyBorder="1" applyAlignment="1" applyProtection="1">
      <alignment horizontal="center" textRotation="90" wrapText="1"/>
    </xf>
    <xf numFmtId="0" fontId="3" fillId="17" borderId="14" xfId="1" applyFont="1" applyFill="1" applyBorder="1" applyAlignment="1" applyProtection="1">
      <alignment horizontal="center" textRotation="90" wrapText="1"/>
    </xf>
    <xf numFmtId="0" fontId="3" fillId="14" borderId="16" xfId="1" applyFont="1" applyFill="1" applyBorder="1" applyAlignment="1" applyProtection="1">
      <alignment horizontal="center" textRotation="90" wrapText="1"/>
    </xf>
    <xf numFmtId="0" fontId="3" fillId="15" borderId="16" xfId="1" applyFont="1" applyFill="1" applyBorder="1" applyAlignment="1" applyProtection="1">
      <alignment horizontal="center" textRotation="90" wrapText="1"/>
    </xf>
    <xf numFmtId="0" fontId="3" fillId="10" borderId="16" xfId="1" applyFont="1" applyFill="1" applyBorder="1" applyAlignment="1" applyProtection="1">
      <alignment horizontal="center" textRotation="90" wrapText="1"/>
    </xf>
    <xf numFmtId="0" fontId="3" fillId="0" borderId="16" xfId="1" applyFont="1" applyFill="1" applyBorder="1" applyAlignment="1" applyProtection="1">
      <alignment horizontal="center" textRotation="90" wrapText="1"/>
    </xf>
    <xf numFmtId="0" fontId="3" fillId="8" borderId="16" xfId="1" applyFont="1" applyFill="1" applyBorder="1" applyAlignment="1" applyProtection="1">
      <alignment horizontal="center" textRotation="90" wrapText="1"/>
    </xf>
    <xf numFmtId="0" fontId="3" fillId="17" borderId="17" xfId="1" applyFont="1" applyFill="1" applyBorder="1" applyAlignment="1" applyProtection="1">
      <alignment horizontal="center" textRotation="90" wrapText="1"/>
    </xf>
    <xf numFmtId="0" fontId="3" fillId="4" borderId="10" xfId="1" applyFont="1" applyFill="1" applyBorder="1" applyAlignment="1" applyProtection="1">
      <alignment horizontal="center" textRotation="90" wrapText="1"/>
    </xf>
    <xf numFmtId="0" fontId="3" fillId="4" borderId="14" xfId="1" applyFont="1" applyFill="1" applyBorder="1" applyAlignment="1" applyProtection="1">
      <alignment horizontal="center" textRotation="90" wrapText="1"/>
    </xf>
    <xf numFmtId="0" fontId="3" fillId="4" borderId="17" xfId="1" applyFont="1" applyFill="1" applyBorder="1" applyAlignment="1" applyProtection="1">
      <alignment horizontal="center" textRotation="90" wrapText="1"/>
    </xf>
    <xf numFmtId="0" fontId="3" fillId="3" borderId="23" xfId="1" applyFont="1" applyFill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textRotation="90" wrapText="1"/>
    </xf>
    <xf numFmtId="0" fontId="3" fillId="0" borderId="14" xfId="1" applyFont="1" applyBorder="1" applyAlignment="1" applyProtection="1">
      <alignment horizontal="center" textRotation="90" wrapText="1"/>
    </xf>
    <xf numFmtId="0" fontId="3" fillId="0" borderId="17" xfId="1" applyFont="1" applyBorder="1" applyAlignment="1" applyProtection="1">
      <alignment horizontal="center" textRotation="90" wrapText="1"/>
    </xf>
    <xf numFmtId="0" fontId="3" fillId="0" borderId="10" xfId="1" applyFont="1" applyBorder="1" applyAlignment="1" applyProtection="1">
      <alignment horizontal="center" textRotation="90"/>
    </xf>
    <xf numFmtId="0" fontId="3" fillId="0" borderId="14" xfId="1" applyFont="1" applyBorder="1" applyAlignment="1" applyProtection="1">
      <alignment horizontal="center" textRotation="90"/>
    </xf>
    <xf numFmtId="0" fontId="3" fillId="0" borderId="17" xfId="1" applyFont="1" applyBorder="1" applyAlignment="1" applyProtection="1">
      <alignment horizontal="center" textRotation="90"/>
    </xf>
    <xf numFmtId="0" fontId="3" fillId="0" borderId="58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49" fontId="4" fillId="7" borderId="1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 wrapText="1"/>
    </xf>
    <xf numFmtId="0" fontId="11" fillId="0" borderId="47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41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vertical="center" wrapText="1"/>
    </xf>
    <xf numFmtId="0" fontId="11" fillId="0" borderId="0" xfId="0" applyFont="1" applyProtection="1"/>
    <xf numFmtId="0" fontId="14" fillId="0" borderId="42" xfId="0" applyFont="1" applyBorder="1" applyAlignment="1" applyProtection="1">
      <alignment horizontal="left" vertical="center" wrapText="1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11" fillId="4" borderId="2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69" fontId="11" fillId="0" borderId="2" xfId="0" applyNumberFormat="1" applyFont="1" applyBorder="1" applyAlignment="1" applyProtection="1">
      <alignment horizontal="center" vertical="center" wrapText="1"/>
      <protection locked="0"/>
    </xf>
    <xf numFmtId="169" fontId="11" fillId="0" borderId="3" xfId="0" applyNumberFormat="1" applyFont="1" applyBorder="1" applyAlignment="1" applyProtection="1">
      <alignment horizontal="center" vertical="center" wrapText="1"/>
      <protection locked="0"/>
    </xf>
    <xf numFmtId="16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2" xfId="1" applyFont="1" applyBorder="1" applyAlignment="1" applyProtection="1"/>
    <xf numFmtId="0" fontId="4" fillId="0" borderId="2" xfId="1" applyFont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right" vertical="center"/>
    </xf>
    <xf numFmtId="169" fontId="19" fillId="0" borderId="41" xfId="1" applyNumberFormat="1" applyFont="1" applyBorder="1" applyAlignment="1" applyProtection="1">
      <alignment horizontal="center" vertical="center"/>
    </xf>
    <xf numFmtId="169" fontId="19" fillId="0" borderId="20" xfId="1" applyNumberFormat="1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19" fillId="0" borderId="1" xfId="1" applyFont="1" applyBorder="1" applyAlignment="1" applyProtection="1">
      <alignment horizontal="center" vertical="center"/>
    </xf>
    <xf numFmtId="0" fontId="7" fillId="0" borderId="50" xfId="1" applyBorder="1" applyAlignment="1" applyProtection="1"/>
    <xf numFmtId="0" fontId="7" fillId="0" borderId="6" xfId="1" applyBorder="1" applyAlignment="1" applyProtection="1">
      <alignment vertical="center"/>
    </xf>
    <xf numFmtId="0" fontId="7" fillId="0" borderId="0" xfId="1" applyBorder="1" applyAlignment="1" applyProtection="1">
      <alignment vertical="center"/>
    </xf>
    <xf numFmtId="0" fontId="7" fillId="0" borderId="7" xfId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7" fillId="0" borderId="50" xfId="1" applyBorder="1" applyAlignment="1" applyProtection="1">
      <alignment vertical="center"/>
    </xf>
    <xf numFmtId="0" fontId="7" fillId="0" borderId="0" xfId="1" applyAlignment="1" applyProtection="1">
      <alignment vertical="center"/>
    </xf>
    <xf numFmtId="0" fontId="3" fillId="0" borderId="6" xfId="1" applyFont="1" applyBorder="1" applyProtection="1"/>
    <xf numFmtId="0" fontId="3" fillId="0" borderId="7" xfId="1" applyFont="1" applyBorder="1" applyProtection="1"/>
    <xf numFmtId="0" fontId="4" fillId="0" borderId="50" xfId="1" applyFont="1" applyBorder="1" applyAlignment="1" applyProtection="1"/>
    <xf numFmtId="0" fontId="6" fillId="0" borderId="50" xfId="0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horizontal="center" vertical="top"/>
    </xf>
    <xf numFmtId="0" fontId="2" fillId="0" borderId="7" xfId="1" applyFont="1" applyBorder="1" applyAlignment="1" applyProtection="1">
      <alignment horizontal="center" vertical="top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top" wrapText="1"/>
    </xf>
    <xf numFmtId="0" fontId="3" fillId="0" borderId="52" xfId="1" applyFont="1" applyBorder="1" applyProtection="1"/>
    <xf numFmtId="0" fontId="3" fillId="17" borderId="40" xfId="1" applyFont="1" applyFill="1" applyBorder="1" applyAlignment="1" applyProtection="1">
      <alignment horizontal="center" vertical="center"/>
    </xf>
    <xf numFmtId="0" fontId="3" fillId="17" borderId="52" xfId="1" applyFont="1" applyFill="1" applyBorder="1" applyAlignment="1" applyProtection="1">
      <alignment horizontal="center" vertical="center"/>
    </xf>
    <xf numFmtId="0" fontId="3" fillId="17" borderId="15" xfId="1" applyFont="1" applyFill="1" applyBorder="1" applyAlignment="1" applyProtection="1">
      <alignment horizontal="center" vertical="center"/>
    </xf>
  </cellXfs>
  <cellStyles count="5">
    <cellStyle name="Euro" xfId="3" xr:uid="{00000000-0005-0000-0000-000000000000}"/>
    <cellStyle name="Millares 2" xfId="2" xr:uid="{00000000-0005-0000-0000-000001000000}"/>
    <cellStyle name="Normal" xfId="0" builtinId="0"/>
    <cellStyle name="Normal 2" xfId="1" xr:uid="{00000000-0005-0000-0000-000003000000}"/>
    <cellStyle name="SINPROTECCION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17787</xdr:colOff>
      <xdr:row>1</xdr:row>
      <xdr:rowOff>7497</xdr:rowOff>
    </xdr:from>
    <xdr:to>
      <xdr:col>2</xdr:col>
      <xdr:colOff>1371606</xdr:colOff>
      <xdr:row>5</xdr:row>
      <xdr:rowOff>19175</xdr:rowOff>
    </xdr:to>
    <xdr:pic>
      <xdr:nvPicPr>
        <xdr:cNvPr id="2" name="Imagen 1" descr="Despacho del Gobernad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6" t="14370" r="5852" b="28150"/>
        <a:stretch/>
      </xdr:blipFill>
      <xdr:spPr bwMode="auto">
        <a:xfrm>
          <a:off x="314967" y="68457"/>
          <a:ext cx="1353819" cy="4993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108857</xdr:colOff>
      <xdr:row>1</xdr:row>
      <xdr:rowOff>76196</xdr:rowOff>
    </xdr:from>
    <xdr:to>
      <xdr:col>10</xdr:col>
      <xdr:colOff>32655</xdr:colOff>
      <xdr:row>4</xdr:row>
      <xdr:rowOff>3263</xdr:rowOff>
    </xdr:to>
    <xdr:pic>
      <xdr:nvPicPr>
        <xdr:cNvPr id="2" name="Imagen 1" descr="Despacho del Gobernad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066" t="14370" r="5852" b="28150"/>
        <a:stretch/>
      </xdr:blipFill>
      <xdr:spPr bwMode="auto">
        <a:xfrm>
          <a:off x="870857" y="272139"/>
          <a:ext cx="1491341" cy="5148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22"/>
  <sheetViews>
    <sheetView showGridLines="0" tabSelected="1" zoomScaleNormal="100" zoomScaleSheetLayoutView="110" workbookViewId="0">
      <pane ySplit="22" topLeftCell="A29" activePane="bottomLeft" state="frozen"/>
      <selection pane="bottomLeft" activeCell="D31" sqref="D31"/>
    </sheetView>
  </sheetViews>
  <sheetFormatPr baseColWidth="10" defaultColWidth="11.5546875" defaultRowHeight="10.199999999999999" x14ac:dyDescent="0.2"/>
  <cols>
    <col min="1" max="1" width="0.6640625" style="29" customWidth="1"/>
    <col min="2" max="2" width="3.6640625" style="29" customWidth="1"/>
    <col min="3" max="6" width="20.6640625" style="29" customWidth="1"/>
    <col min="7" max="8" width="2.88671875" style="29" customWidth="1"/>
    <col min="9" max="9" width="11.77734375" style="29" customWidth="1"/>
    <col min="10" max="24" width="2.88671875" style="32" customWidth="1"/>
    <col min="25" max="25" width="3.44140625" style="32" customWidth="1"/>
    <col min="26" max="28" width="3.77734375" style="32" customWidth="1"/>
    <col min="29" max="29" width="7.77734375" style="32" customWidth="1"/>
    <col min="30" max="30" width="3.44140625" style="32" customWidth="1"/>
    <col min="31" max="31" width="0.6640625" style="29" customWidth="1"/>
    <col min="32" max="32" width="4.6640625" style="29" customWidth="1"/>
    <col min="33" max="33" width="5.44140625" style="29" customWidth="1"/>
    <col min="34" max="16384" width="11.5546875" style="29"/>
  </cols>
  <sheetData>
    <row r="1" spans="2:31" ht="4.95" customHeight="1" x14ac:dyDescent="0.2"/>
    <row r="2" spans="2:31" ht="12" customHeight="1" x14ac:dyDescent="0.2">
      <c r="B2" s="76"/>
      <c r="C2" s="76"/>
      <c r="D2" s="90" t="s">
        <v>120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406"/>
      <c r="Z2" s="483" t="s">
        <v>111</v>
      </c>
      <c r="AA2" s="484"/>
      <c r="AB2" s="484"/>
      <c r="AC2" s="484"/>
      <c r="AD2" s="485"/>
    </row>
    <row r="3" spans="2:31" ht="12" customHeight="1" x14ac:dyDescent="0.3">
      <c r="B3" s="77"/>
      <c r="C3" s="77"/>
      <c r="D3" s="91" t="s">
        <v>121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53"/>
      <c r="Y3" s="54"/>
      <c r="Z3" s="505">
        <v>44693</v>
      </c>
      <c r="AA3" s="506"/>
      <c r="AB3" s="506"/>
      <c r="AC3" s="506"/>
      <c r="AD3" s="507"/>
    </row>
    <row r="4" spans="2:31" ht="2.4" customHeight="1" x14ac:dyDescent="0.2">
      <c r="B4" s="77"/>
      <c r="C4" s="77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53"/>
      <c r="Y4" s="486"/>
      <c r="Z4" s="486"/>
      <c r="AA4" s="486"/>
      <c r="AB4" s="487"/>
      <c r="AC4" s="486"/>
      <c r="AD4" s="488"/>
    </row>
    <row r="5" spans="2:31" ht="12" customHeight="1" x14ac:dyDescent="0.2">
      <c r="B5" s="77"/>
      <c r="C5" s="77"/>
      <c r="D5" s="91" t="s">
        <v>55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53"/>
      <c r="Y5" s="489"/>
      <c r="Z5" s="88" t="s">
        <v>56</v>
      </c>
      <c r="AA5" s="490"/>
      <c r="AB5" s="89"/>
      <c r="AC5" s="92" t="s">
        <v>57</v>
      </c>
      <c r="AD5" s="89"/>
    </row>
    <row r="6" spans="2:31" ht="3.6" customHeight="1" x14ac:dyDescent="0.2">
      <c r="B6" s="75"/>
      <c r="C6" s="75"/>
      <c r="D6" s="491"/>
      <c r="E6" s="491"/>
      <c r="F6" s="491"/>
      <c r="G6" s="491"/>
      <c r="H6" s="491"/>
      <c r="I6" s="491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87"/>
      <c r="AA6" s="87"/>
      <c r="AB6" s="87"/>
      <c r="AC6" s="492"/>
      <c r="AD6" s="87"/>
      <c r="AE6" s="47"/>
    </row>
    <row r="7" spans="2:31" ht="12" customHeight="1" x14ac:dyDescent="0.2">
      <c r="B7" s="73" t="s">
        <v>108</v>
      </c>
      <c r="C7" s="105"/>
      <c r="D7" s="493" t="s">
        <v>116</v>
      </c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5"/>
      <c r="AE7" s="47"/>
    </row>
    <row r="8" spans="2:31" ht="12" customHeight="1" x14ac:dyDescent="0.2">
      <c r="B8" s="136" t="s">
        <v>109</v>
      </c>
      <c r="C8" s="137"/>
      <c r="D8" s="94" t="s">
        <v>122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  <c r="AE8" s="47"/>
    </row>
    <row r="9" spans="2:31" ht="31.2" customHeight="1" x14ac:dyDescent="0.2">
      <c r="B9" s="78" t="s">
        <v>146</v>
      </c>
      <c r="C9" s="79"/>
      <c r="D9" s="102" t="s">
        <v>147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</row>
    <row r="10" spans="2:31" ht="12" customHeight="1" x14ac:dyDescent="0.2">
      <c r="B10" s="138" t="s">
        <v>148</v>
      </c>
      <c r="C10" s="139"/>
      <c r="D10" s="94" t="s">
        <v>149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2:31" ht="12" customHeight="1" x14ac:dyDescent="0.2">
      <c r="B11" s="78" t="s">
        <v>150</v>
      </c>
      <c r="C11" s="79"/>
      <c r="D11" s="496" t="s">
        <v>151</v>
      </c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8"/>
    </row>
    <row r="12" spans="2:31" ht="12" customHeight="1" x14ac:dyDescent="0.2">
      <c r="B12" s="138" t="s">
        <v>110</v>
      </c>
      <c r="C12" s="139"/>
      <c r="D12" s="97" t="s">
        <v>117</v>
      </c>
      <c r="E12" s="98"/>
      <c r="F12" s="98"/>
      <c r="G12" s="98"/>
      <c r="H12" s="98"/>
      <c r="I12" s="98"/>
      <c r="J12" s="98"/>
      <c r="K12" s="98"/>
      <c r="L12" s="98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100"/>
      <c r="Z12" s="100"/>
      <c r="AA12" s="100"/>
      <c r="AB12" s="100"/>
      <c r="AC12" s="100"/>
      <c r="AD12" s="101"/>
    </row>
    <row r="13" spans="2:31" ht="4.2" customHeight="1" x14ac:dyDescent="0.2">
      <c r="B13" s="49"/>
      <c r="C13" s="49"/>
      <c r="D13" s="48"/>
      <c r="E13" s="48"/>
      <c r="F13" s="48"/>
      <c r="G13" s="48"/>
      <c r="H13" s="48"/>
      <c r="I13" s="48"/>
      <c r="J13" s="48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7"/>
      <c r="Z13" s="87"/>
      <c r="AA13" s="87"/>
      <c r="AB13" s="87"/>
      <c r="AC13" s="87"/>
      <c r="AD13" s="87"/>
    </row>
    <row r="14" spans="2:31" ht="18" customHeight="1" x14ac:dyDescent="0.2">
      <c r="B14" s="74" t="s">
        <v>100</v>
      </c>
      <c r="C14" s="74"/>
      <c r="D14" s="68" t="s">
        <v>107</v>
      </c>
      <c r="E14" s="68"/>
      <c r="F14" s="68"/>
      <c r="G14" s="60" t="s">
        <v>0</v>
      </c>
      <c r="H14" s="66" t="s">
        <v>1</v>
      </c>
      <c r="I14" s="66"/>
      <c r="J14" s="62" t="s">
        <v>80</v>
      </c>
      <c r="K14" s="480" t="s">
        <v>128</v>
      </c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2"/>
      <c r="X14" s="57" t="s">
        <v>144</v>
      </c>
      <c r="Y14" s="133" t="s">
        <v>113</v>
      </c>
      <c r="Z14" s="130" t="s">
        <v>145</v>
      </c>
      <c r="AA14" s="130" t="s">
        <v>166</v>
      </c>
      <c r="AB14" s="130" t="s">
        <v>152</v>
      </c>
      <c r="AC14" s="56" t="s">
        <v>83</v>
      </c>
      <c r="AD14" s="56" t="s">
        <v>71</v>
      </c>
    </row>
    <row r="15" spans="2:31" ht="18" customHeight="1" x14ac:dyDescent="0.2">
      <c r="B15" s="72" t="s">
        <v>101</v>
      </c>
      <c r="C15" s="72"/>
      <c r="D15" s="499"/>
      <c r="E15" s="500"/>
      <c r="F15" s="501"/>
      <c r="G15" s="61"/>
      <c r="H15" s="71"/>
      <c r="I15" s="71"/>
      <c r="J15" s="63"/>
      <c r="K15" s="82" t="s">
        <v>206</v>
      </c>
      <c r="L15" s="82" t="s">
        <v>207</v>
      </c>
      <c r="M15" s="82" t="s">
        <v>208</v>
      </c>
      <c r="N15" s="82" t="s">
        <v>209</v>
      </c>
      <c r="O15" s="82" t="s">
        <v>210</v>
      </c>
      <c r="P15" s="82" t="s">
        <v>211</v>
      </c>
      <c r="Q15" s="82" t="s">
        <v>212</v>
      </c>
      <c r="R15" s="82" t="s">
        <v>213</v>
      </c>
      <c r="S15" s="82" t="s">
        <v>214</v>
      </c>
      <c r="T15" s="82" t="s">
        <v>215</v>
      </c>
      <c r="U15" s="82" t="s">
        <v>216</v>
      </c>
      <c r="V15" s="82" t="s">
        <v>217</v>
      </c>
      <c r="W15" s="82" t="s">
        <v>218</v>
      </c>
      <c r="X15" s="58"/>
      <c r="Y15" s="134"/>
      <c r="Z15" s="131"/>
      <c r="AA15" s="131"/>
      <c r="AB15" s="131"/>
      <c r="AC15" s="56"/>
      <c r="AD15" s="56"/>
    </row>
    <row r="16" spans="2:31" ht="18" customHeight="1" x14ac:dyDescent="0.2">
      <c r="B16" s="67" t="s">
        <v>102</v>
      </c>
      <c r="C16" s="67"/>
      <c r="D16" s="502"/>
      <c r="E16" s="51" t="s">
        <v>103</v>
      </c>
      <c r="F16" s="38"/>
      <c r="G16" s="61"/>
      <c r="H16" s="69" t="s">
        <v>119</v>
      </c>
      <c r="I16" s="64" t="s">
        <v>2</v>
      </c>
      <c r="J16" s="63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58"/>
      <c r="Y16" s="134"/>
      <c r="Z16" s="131"/>
      <c r="AA16" s="131"/>
      <c r="AB16" s="131"/>
      <c r="AC16" s="56"/>
      <c r="AD16" s="56"/>
    </row>
    <row r="17" spans="2:33" ht="18" customHeight="1" x14ac:dyDescent="0.2">
      <c r="B17" s="67" t="s">
        <v>115</v>
      </c>
      <c r="C17" s="67"/>
      <c r="D17" s="502"/>
      <c r="E17" s="50" t="s">
        <v>114</v>
      </c>
      <c r="F17" s="502"/>
      <c r="G17" s="61"/>
      <c r="H17" s="70"/>
      <c r="I17" s="65"/>
      <c r="J17" s="63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58"/>
      <c r="Y17" s="134"/>
      <c r="Z17" s="131"/>
      <c r="AA17" s="131"/>
      <c r="AB17" s="131"/>
      <c r="AC17" s="56"/>
      <c r="AD17" s="56"/>
      <c r="AG17" s="83"/>
    </row>
    <row r="18" spans="2:33" ht="18" customHeight="1" x14ac:dyDescent="0.2">
      <c r="B18" s="67" t="s">
        <v>104</v>
      </c>
      <c r="C18" s="67"/>
      <c r="D18" s="404"/>
      <c r="E18" s="404"/>
      <c r="F18" s="404"/>
      <c r="G18" s="61"/>
      <c r="H18" s="70"/>
      <c r="I18" s="65"/>
      <c r="J18" s="63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58"/>
      <c r="Y18" s="134"/>
      <c r="Z18" s="131"/>
      <c r="AA18" s="131"/>
      <c r="AB18" s="131"/>
      <c r="AC18" s="56"/>
      <c r="AD18" s="56"/>
    </row>
    <row r="19" spans="2:33" ht="18" customHeight="1" x14ac:dyDescent="0.2">
      <c r="B19" s="73" t="s">
        <v>105</v>
      </c>
      <c r="C19" s="73"/>
      <c r="D19" s="404"/>
      <c r="E19" s="404"/>
      <c r="F19" s="404"/>
      <c r="G19" s="61"/>
      <c r="H19" s="70"/>
      <c r="I19" s="65"/>
      <c r="J19" s="63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58"/>
      <c r="Y19" s="134"/>
      <c r="Z19" s="131"/>
      <c r="AA19" s="131"/>
      <c r="AB19" s="131"/>
      <c r="AC19" s="56"/>
      <c r="AD19" s="56"/>
    </row>
    <row r="20" spans="2:33" ht="18" customHeight="1" x14ac:dyDescent="0.2">
      <c r="B20" s="73" t="s">
        <v>106</v>
      </c>
      <c r="C20" s="73"/>
      <c r="D20" s="40"/>
      <c r="E20" s="28" t="s">
        <v>118</v>
      </c>
      <c r="F20" s="405"/>
      <c r="G20" s="61"/>
      <c r="H20" s="70"/>
      <c r="I20" s="65"/>
      <c r="J20" s="63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58"/>
      <c r="Y20" s="134"/>
      <c r="Z20" s="131"/>
      <c r="AA20" s="131"/>
      <c r="AB20" s="131"/>
      <c r="AC20" s="56"/>
      <c r="AD20" s="56"/>
    </row>
    <row r="21" spans="2:33" ht="18" customHeight="1" x14ac:dyDescent="0.2">
      <c r="B21" s="476" t="s">
        <v>29</v>
      </c>
      <c r="C21" s="477" t="s">
        <v>3</v>
      </c>
      <c r="D21" s="477"/>
      <c r="E21" s="477"/>
      <c r="F21" s="477"/>
      <c r="G21" s="61"/>
      <c r="H21" s="70"/>
      <c r="I21" s="65"/>
      <c r="J21" s="63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58"/>
      <c r="Y21" s="134"/>
      <c r="Z21" s="131"/>
      <c r="AA21" s="131"/>
      <c r="AB21" s="131"/>
      <c r="AC21" s="56"/>
      <c r="AD21" s="56"/>
    </row>
    <row r="22" spans="2:33" ht="18" customHeight="1" x14ac:dyDescent="0.2">
      <c r="B22" s="476"/>
      <c r="C22" s="478" t="s">
        <v>4</v>
      </c>
      <c r="D22" s="478" t="s">
        <v>5</v>
      </c>
      <c r="E22" s="478" t="s">
        <v>6</v>
      </c>
      <c r="F22" s="479" t="s">
        <v>7</v>
      </c>
      <c r="G22" s="61"/>
      <c r="H22" s="62"/>
      <c r="I22" s="66"/>
      <c r="J22" s="63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59"/>
      <c r="Y22" s="135"/>
      <c r="Z22" s="132"/>
      <c r="AA22" s="132"/>
      <c r="AB22" s="131"/>
      <c r="AC22" s="56"/>
      <c r="AD22" s="56"/>
    </row>
    <row r="23" spans="2:33" ht="16.05" customHeight="1" x14ac:dyDescent="0.2">
      <c r="B23" s="52">
        <v>1</v>
      </c>
      <c r="C23" s="38"/>
      <c r="D23" s="38"/>
      <c r="E23" s="38"/>
      <c r="F23" s="43"/>
      <c r="G23" s="38"/>
      <c r="H23" s="44"/>
      <c r="I23" s="45"/>
      <c r="J23" s="40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502"/>
      <c r="AB23" s="40"/>
      <c r="AC23" s="503"/>
      <c r="AD23" s="46"/>
    </row>
    <row r="24" spans="2:33" ht="16.05" customHeight="1" x14ac:dyDescent="0.2">
      <c r="B24" s="52">
        <v>2</v>
      </c>
      <c r="C24" s="38"/>
      <c r="D24" s="38"/>
      <c r="E24" s="38"/>
      <c r="F24" s="43"/>
      <c r="G24" s="38"/>
      <c r="H24" s="44"/>
      <c r="I24" s="45"/>
      <c r="J24" s="40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502"/>
      <c r="AB24" s="40"/>
      <c r="AC24" s="503"/>
      <c r="AD24" s="46"/>
    </row>
    <row r="25" spans="2:33" ht="16.05" customHeight="1" x14ac:dyDescent="0.2">
      <c r="B25" s="52">
        <v>3</v>
      </c>
      <c r="C25" s="38"/>
      <c r="D25" s="38"/>
      <c r="E25" s="38"/>
      <c r="F25" s="43"/>
      <c r="G25" s="38"/>
      <c r="H25" s="44"/>
      <c r="I25" s="45"/>
      <c r="J25" s="40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502"/>
      <c r="AB25" s="40"/>
      <c r="AC25" s="503"/>
      <c r="AD25" s="46"/>
    </row>
    <row r="26" spans="2:33" ht="16.05" customHeight="1" x14ac:dyDescent="0.2">
      <c r="B26" s="52">
        <v>4</v>
      </c>
      <c r="C26" s="38"/>
      <c r="D26" s="38"/>
      <c r="E26" s="38"/>
      <c r="F26" s="43"/>
      <c r="G26" s="38"/>
      <c r="H26" s="44"/>
      <c r="I26" s="45"/>
      <c r="J26" s="40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502"/>
      <c r="AB26" s="40"/>
      <c r="AC26" s="503"/>
      <c r="AD26" s="46"/>
    </row>
    <row r="27" spans="2:33" ht="16.05" customHeight="1" x14ac:dyDescent="0.2">
      <c r="B27" s="52">
        <v>5</v>
      </c>
      <c r="C27" s="38"/>
      <c r="D27" s="38"/>
      <c r="E27" s="38"/>
      <c r="F27" s="43"/>
      <c r="G27" s="38"/>
      <c r="H27" s="44"/>
      <c r="I27" s="45"/>
      <c r="J27" s="40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502"/>
      <c r="AB27" s="40"/>
      <c r="AC27" s="503"/>
      <c r="AD27" s="46"/>
    </row>
    <row r="28" spans="2:33" ht="16.05" customHeight="1" x14ac:dyDescent="0.2">
      <c r="B28" s="52">
        <v>6</v>
      </c>
      <c r="C28" s="38"/>
      <c r="D28" s="38"/>
      <c r="E28" s="38"/>
      <c r="F28" s="43"/>
      <c r="G28" s="38"/>
      <c r="H28" s="44"/>
      <c r="I28" s="45"/>
      <c r="J28" s="40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502"/>
      <c r="AB28" s="40"/>
      <c r="AC28" s="503"/>
      <c r="AD28" s="46"/>
    </row>
    <row r="29" spans="2:33" ht="16.05" customHeight="1" x14ac:dyDescent="0.2">
      <c r="B29" s="52">
        <v>7</v>
      </c>
      <c r="C29" s="38"/>
      <c r="D29" s="38"/>
      <c r="E29" s="38"/>
      <c r="F29" s="43"/>
      <c r="G29" s="38"/>
      <c r="H29" s="44"/>
      <c r="I29" s="45"/>
      <c r="J29" s="40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502"/>
      <c r="AB29" s="40"/>
      <c r="AC29" s="503"/>
      <c r="AD29" s="46"/>
    </row>
    <row r="30" spans="2:33" ht="16.05" customHeight="1" x14ac:dyDescent="0.2">
      <c r="B30" s="52">
        <v>8</v>
      </c>
      <c r="C30" s="38"/>
      <c r="D30" s="38"/>
      <c r="E30" s="38"/>
      <c r="F30" s="43"/>
      <c r="G30" s="38"/>
      <c r="H30" s="44"/>
      <c r="I30" s="45"/>
      <c r="J30" s="40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502"/>
      <c r="AB30" s="40"/>
      <c r="AC30" s="503"/>
      <c r="AD30" s="46"/>
    </row>
    <row r="31" spans="2:33" ht="16.05" customHeight="1" x14ac:dyDescent="0.2">
      <c r="B31" s="52">
        <v>9</v>
      </c>
      <c r="C31" s="38"/>
      <c r="D31" s="38"/>
      <c r="E31" s="38"/>
      <c r="F31" s="43"/>
      <c r="G31" s="38"/>
      <c r="H31" s="44"/>
      <c r="I31" s="45"/>
      <c r="J31" s="40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504"/>
      <c r="AB31" s="40"/>
      <c r="AC31" s="503"/>
      <c r="AD31" s="46"/>
    </row>
    <row r="32" spans="2:33" ht="16.05" customHeight="1" x14ac:dyDescent="0.2">
      <c r="B32" s="52">
        <v>10</v>
      </c>
      <c r="C32" s="38"/>
      <c r="D32" s="38"/>
      <c r="E32" s="38"/>
      <c r="F32" s="43"/>
      <c r="G32" s="38"/>
      <c r="H32" s="44"/>
      <c r="I32" s="45"/>
      <c r="J32" s="40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502"/>
      <c r="AB32" s="40"/>
      <c r="AC32" s="503"/>
      <c r="AD32" s="46"/>
    </row>
    <row r="33" spans="2:30" ht="16.05" customHeight="1" x14ac:dyDescent="0.2">
      <c r="B33" s="52">
        <v>11</v>
      </c>
      <c r="C33" s="38"/>
      <c r="D33" s="38"/>
      <c r="E33" s="38"/>
      <c r="F33" s="43"/>
      <c r="G33" s="38"/>
      <c r="H33" s="44"/>
      <c r="I33" s="45"/>
      <c r="J33" s="40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502"/>
      <c r="AB33" s="40"/>
      <c r="AC33" s="503"/>
      <c r="AD33" s="46"/>
    </row>
    <row r="34" spans="2:30" ht="16.05" customHeight="1" x14ac:dyDescent="0.2">
      <c r="B34" s="52">
        <v>12</v>
      </c>
      <c r="C34" s="38"/>
      <c r="D34" s="38"/>
      <c r="E34" s="38"/>
      <c r="F34" s="43"/>
      <c r="G34" s="38"/>
      <c r="H34" s="44"/>
      <c r="I34" s="45"/>
      <c r="J34" s="40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502"/>
      <c r="AB34" s="40"/>
      <c r="AC34" s="503"/>
      <c r="AD34" s="46"/>
    </row>
    <row r="35" spans="2:30" ht="16.05" customHeight="1" x14ac:dyDescent="0.2">
      <c r="B35" s="52">
        <v>13</v>
      </c>
      <c r="C35" s="38"/>
      <c r="D35" s="38"/>
      <c r="E35" s="38"/>
      <c r="F35" s="43"/>
      <c r="G35" s="38"/>
      <c r="H35" s="44"/>
      <c r="I35" s="45"/>
      <c r="J35" s="40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502"/>
      <c r="AB35" s="40"/>
      <c r="AC35" s="503"/>
      <c r="AD35" s="46"/>
    </row>
    <row r="36" spans="2:30" ht="16.05" customHeight="1" x14ac:dyDescent="0.2">
      <c r="B36" s="52">
        <v>14</v>
      </c>
      <c r="C36" s="38"/>
      <c r="D36" s="38"/>
      <c r="E36" s="38"/>
      <c r="F36" s="43"/>
      <c r="G36" s="38"/>
      <c r="H36" s="44"/>
      <c r="I36" s="45"/>
      <c r="J36" s="40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502"/>
      <c r="AB36" s="40"/>
      <c r="AC36" s="503"/>
      <c r="AD36" s="46"/>
    </row>
    <row r="37" spans="2:30" ht="16.05" customHeight="1" x14ac:dyDescent="0.2">
      <c r="B37" s="52">
        <v>15</v>
      </c>
      <c r="C37" s="38"/>
      <c r="D37" s="38"/>
      <c r="E37" s="38"/>
      <c r="F37" s="43"/>
      <c r="G37" s="38"/>
      <c r="H37" s="44"/>
      <c r="I37" s="45"/>
      <c r="J37" s="40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502"/>
      <c r="AB37" s="40"/>
      <c r="AC37" s="503"/>
      <c r="AD37" s="46"/>
    </row>
    <row r="38" spans="2:30" ht="16.05" customHeight="1" x14ac:dyDescent="0.2">
      <c r="B38" s="52">
        <v>16</v>
      </c>
      <c r="C38" s="38"/>
      <c r="D38" s="38"/>
      <c r="E38" s="38"/>
      <c r="F38" s="43"/>
      <c r="G38" s="38"/>
      <c r="H38" s="44"/>
      <c r="I38" s="45"/>
      <c r="J38" s="40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502"/>
      <c r="AB38" s="40"/>
      <c r="AC38" s="503"/>
      <c r="AD38" s="46"/>
    </row>
    <row r="39" spans="2:30" ht="16.05" customHeight="1" x14ac:dyDescent="0.2">
      <c r="B39" s="52">
        <v>17</v>
      </c>
      <c r="C39" s="38"/>
      <c r="D39" s="38"/>
      <c r="E39" s="38"/>
      <c r="F39" s="43"/>
      <c r="G39" s="38"/>
      <c r="H39" s="44"/>
      <c r="I39" s="45"/>
      <c r="J39" s="40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502"/>
      <c r="AB39" s="40"/>
      <c r="AC39" s="503"/>
      <c r="AD39" s="46"/>
    </row>
    <row r="40" spans="2:30" ht="16.05" customHeight="1" x14ac:dyDescent="0.2">
      <c r="B40" s="52">
        <v>18</v>
      </c>
      <c r="C40" s="38"/>
      <c r="D40" s="38"/>
      <c r="E40" s="38"/>
      <c r="F40" s="43"/>
      <c r="G40" s="38"/>
      <c r="H40" s="44"/>
      <c r="I40" s="45"/>
      <c r="J40" s="40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502"/>
      <c r="AB40" s="40"/>
      <c r="AC40" s="503"/>
      <c r="AD40" s="46"/>
    </row>
    <row r="41" spans="2:30" ht="16.05" customHeight="1" x14ac:dyDescent="0.2">
      <c r="B41" s="52">
        <v>19</v>
      </c>
      <c r="C41" s="38"/>
      <c r="D41" s="38"/>
      <c r="E41" s="38"/>
      <c r="F41" s="43"/>
      <c r="G41" s="38"/>
      <c r="H41" s="44"/>
      <c r="I41" s="45"/>
      <c r="J41" s="40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502"/>
      <c r="AB41" s="40"/>
      <c r="AC41" s="503"/>
      <c r="AD41" s="46"/>
    </row>
    <row r="42" spans="2:30" ht="16.05" customHeight="1" x14ac:dyDescent="0.2">
      <c r="B42" s="52">
        <v>20</v>
      </c>
      <c r="C42" s="38"/>
      <c r="D42" s="38"/>
      <c r="E42" s="38"/>
      <c r="F42" s="43"/>
      <c r="G42" s="38"/>
      <c r="H42" s="44"/>
      <c r="I42" s="45"/>
      <c r="J42" s="40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502"/>
      <c r="AB42" s="40"/>
      <c r="AC42" s="503"/>
      <c r="AD42" s="46"/>
    </row>
    <row r="43" spans="2:30" ht="16.05" customHeight="1" x14ac:dyDescent="0.2">
      <c r="B43" s="52">
        <v>21</v>
      </c>
      <c r="C43" s="38"/>
      <c r="D43" s="38"/>
      <c r="E43" s="38"/>
      <c r="F43" s="43"/>
      <c r="G43" s="38"/>
      <c r="H43" s="44"/>
      <c r="I43" s="45"/>
      <c r="J43" s="40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502"/>
      <c r="AB43" s="40"/>
      <c r="AC43" s="503"/>
      <c r="AD43" s="46"/>
    </row>
    <row r="44" spans="2:30" ht="16.05" customHeight="1" x14ac:dyDescent="0.2">
      <c r="B44" s="52">
        <v>22</v>
      </c>
      <c r="C44" s="38"/>
      <c r="D44" s="38"/>
      <c r="E44" s="38"/>
      <c r="F44" s="43"/>
      <c r="G44" s="38"/>
      <c r="H44" s="44"/>
      <c r="I44" s="45"/>
      <c r="J44" s="40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502"/>
      <c r="AB44" s="40"/>
      <c r="AC44" s="503"/>
      <c r="AD44" s="46"/>
    </row>
    <row r="45" spans="2:30" ht="16.05" customHeight="1" x14ac:dyDescent="0.2">
      <c r="B45" s="52">
        <v>23</v>
      </c>
      <c r="C45" s="38"/>
      <c r="D45" s="38"/>
      <c r="E45" s="38"/>
      <c r="F45" s="43"/>
      <c r="G45" s="38"/>
      <c r="H45" s="44"/>
      <c r="I45" s="45"/>
      <c r="J45" s="40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502"/>
      <c r="AB45" s="40"/>
      <c r="AC45" s="503"/>
      <c r="AD45" s="46"/>
    </row>
    <row r="46" spans="2:30" ht="16.05" customHeight="1" x14ac:dyDescent="0.2">
      <c r="B46" s="52">
        <v>24</v>
      </c>
      <c r="C46" s="38"/>
      <c r="D46" s="38"/>
      <c r="E46" s="38"/>
      <c r="F46" s="43"/>
      <c r="G46" s="38"/>
      <c r="H46" s="44"/>
      <c r="I46" s="45"/>
      <c r="J46" s="40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502"/>
      <c r="AB46" s="40"/>
      <c r="AC46" s="503"/>
      <c r="AD46" s="46"/>
    </row>
    <row r="47" spans="2:30" ht="16.05" customHeight="1" x14ac:dyDescent="0.2">
      <c r="B47" s="52">
        <v>25</v>
      </c>
      <c r="C47" s="38"/>
      <c r="D47" s="38"/>
      <c r="E47" s="38"/>
      <c r="F47" s="43"/>
      <c r="G47" s="38"/>
      <c r="H47" s="44"/>
      <c r="I47" s="45"/>
      <c r="J47" s="40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502"/>
      <c r="AB47" s="40"/>
      <c r="AC47" s="503"/>
      <c r="AD47" s="46"/>
    </row>
    <row r="48" spans="2:30" ht="16.05" customHeight="1" x14ac:dyDescent="0.2">
      <c r="B48" s="52">
        <v>26</v>
      </c>
      <c r="C48" s="38"/>
      <c r="D48" s="38"/>
      <c r="E48" s="38"/>
      <c r="F48" s="43"/>
      <c r="G48" s="38"/>
      <c r="H48" s="44"/>
      <c r="I48" s="45"/>
      <c r="J48" s="40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502"/>
      <c r="AB48" s="40"/>
      <c r="AC48" s="503"/>
      <c r="AD48" s="46"/>
    </row>
    <row r="49" spans="2:30" ht="16.05" customHeight="1" x14ac:dyDescent="0.2">
      <c r="B49" s="52">
        <v>27</v>
      </c>
      <c r="C49" s="38"/>
      <c r="D49" s="38"/>
      <c r="E49" s="38"/>
      <c r="F49" s="43"/>
      <c r="G49" s="38"/>
      <c r="H49" s="44"/>
      <c r="I49" s="45"/>
      <c r="J49" s="40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502"/>
      <c r="AB49" s="40"/>
      <c r="AC49" s="503"/>
      <c r="AD49" s="46"/>
    </row>
    <row r="50" spans="2:30" ht="16.05" customHeight="1" x14ac:dyDescent="0.2">
      <c r="B50" s="52">
        <v>28</v>
      </c>
      <c r="C50" s="38"/>
      <c r="D50" s="38"/>
      <c r="E50" s="38"/>
      <c r="F50" s="43"/>
      <c r="G50" s="38"/>
      <c r="H50" s="44"/>
      <c r="I50" s="45"/>
      <c r="J50" s="40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502"/>
      <c r="AB50" s="40"/>
      <c r="AC50" s="503"/>
      <c r="AD50" s="46"/>
    </row>
    <row r="51" spans="2:30" ht="16.05" customHeight="1" x14ac:dyDescent="0.2">
      <c r="B51" s="52">
        <v>29</v>
      </c>
      <c r="C51" s="38"/>
      <c r="D51" s="38"/>
      <c r="E51" s="38"/>
      <c r="F51" s="43"/>
      <c r="G51" s="38"/>
      <c r="H51" s="44"/>
      <c r="I51" s="45"/>
      <c r="J51" s="40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502"/>
      <c r="AB51" s="40"/>
      <c r="AC51" s="503"/>
      <c r="AD51" s="46"/>
    </row>
    <row r="52" spans="2:30" ht="16.05" customHeight="1" x14ac:dyDescent="0.2">
      <c r="B52" s="52">
        <v>30</v>
      </c>
      <c r="C52" s="38"/>
      <c r="D52" s="38"/>
      <c r="E52" s="38"/>
      <c r="F52" s="43"/>
      <c r="G52" s="38"/>
      <c r="H52" s="44"/>
      <c r="I52" s="45"/>
      <c r="J52" s="40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502"/>
      <c r="AB52" s="40"/>
      <c r="AC52" s="503"/>
      <c r="AD52" s="46"/>
    </row>
    <row r="53" spans="2:30" ht="16.05" customHeight="1" x14ac:dyDescent="0.2">
      <c r="B53" s="52">
        <v>31</v>
      </c>
      <c r="C53" s="38"/>
      <c r="D53" s="38"/>
      <c r="E53" s="38"/>
      <c r="F53" s="43"/>
      <c r="G53" s="38"/>
      <c r="H53" s="44"/>
      <c r="I53" s="45"/>
      <c r="J53" s="40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502"/>
      <c r="AB53" s="40"/>
      <c r="AC53" s="503"/>
      <c r="AD53" s="46"/>
    </row>
    <row r="54" spans="2:30" ht="16.05" customHeight="1" x14ac:dyDescent="0.2">
      <c r="B54" s="52">
        <v>32</v>
      </c>
      <c r="C54" s="38"/>
      <c r="D54" s="38"/>
      <c r="E54" s="38"/>
      <c r="F54" s="43"/>
      <c r="G54" s="38"/>
      <c r="H54" s="44"/>
      <c r="I54" s="45"/>
      <c r="J54" s="40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502"/>
      <c r="AB54" s="40"/>
      <c r="AC54" s="503"/>
      <c r="AD54" s="46"/>
    </row>
    <row r="55" spans="2:30" ht="16.05" customHeight="1" x14ac:dyDescent="0.2">
      <c r="B55" s="52">
        <v>33</v>
      </c>
      <c r="C55" s="38"/>
      <c r="D55" s="38"/>
      <c r="E55" s="38"/>
      <c r="F55" s="43"/>
      <c r="G55" s="38"/>
      <c r="H55" s="44"/>
      <c r="I55" s="45"/>
      <c r="J55" s="40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502"/>
      <c r="AB55" s="40"/>
      <c r="AC55" s="503"/>
      <c r="AD55" s="46"/>
    </row>
    <row r="56" spans="2:30" ht="16.05" customHeight="1" x14ac:dyDescent="0.2">
      <c r="B56" s="52">
        <v>34</v>
      </c>
      <c r="C56" s="38"/>
      <c r="D56" s="38"/>
      <c r="E56" s="38"/>
      <c r="F56" s="43"/>
      <c r="G56" s="38"/>
      <c r="H56" s="44"/>
      <c r="I56" s="45"/>
      <c r="J56" s="40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502"/>
      <c r="AB56" s="40"/>
      <c r="AC56" s="503"/>
      <c r="AD56" s="46"/>
    </row>
    <row r="57" spans="2:30" ht="16.05" customHeight="1" x14ac:dyDescent="0.2">
      <c r="B57" s="52">
        <v>35</v>
      </c>
      <c r="C57" s="38"/>
      <c r="D57" s="38"/>
      <c r="E57" s="38"/>
      <c r="F57" s="43"/>
      <c r="G57" s="38"/>
      <c r="H57" s="44"/>
      <c r="I57" s="45"/>
      <c r="J57" s="40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502"/>
      <c r="AB57" s="40"/>
      <c r="AC57" s="503"/>
      <c r="AD57" s="46"/>
    </row>
    <row r="58" spans="2:30" ht="16.05" customHeight="1" x14ac:dyDescent="0.2">
      <c r="B58" s="52">
        <v>36</v>
      </c>
      <c r="C58" s="38"/>
      <c r="D58" s="38"/>
      <c r="E58" s="38"/>
      <c r="F58" s="43"/>
      <c r="G58" s="38"/>
      <c r="H58" s="44"/>
      <c r="I58" s="45"/>
      <c r="J58" s="40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502"/>
      <c r="AB58" s="40"/>
      <c r="AC58" s="503"/>
      <c r="AD58" s="46"/>
    </row>
    <row r="59" spans="2:30" ht="16.05" customHeight="1" x14ac:dyDescent="0.2">
      <c r="B59" s="52">
        <v>37</v>
      </c>
      <c r="C59" s="38"/>
      <c r="D59" s="38"/>
      <c r="E59" s="38"/>
      <c r="F59" s="43"/>
      <c r="G59" s="38"/>
      <c r="H59" s="44"/>
      <c r="I59" s="45"/>
      <c r="J59" s="40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502"/>
      <c r="AB59" s="40"/>
      <c r="AC59" s="503"/>
      <c r="AD59" s="46"/>
    </row>
    <row r="60" spans="2:30" ht="16.05" customHeight="1" x14ac:dyDescent="0.2">
      <c r="B60" s="52">
        <v>38</v>
      </c>
      <c r="C60" s="38"/>
      <c r="D60" s="38"/>
      <c r="E60" s="38"/>
      <c r="F60" s="43"/>
      <c r="G60" s="38"/>
      <c r="H60" s="44"/>
      <c r="I60" s="45"/>
      <c r="J60" s="40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502"/>
      <c r="AB60" s="40"/>
      <c r="AC60" s="503"/>
      <c r="AD60" s="46"/>
    </row>
    <row r="61" spans="2:30" ht="16.05" customHeight="1" x14ac:dyDescent="0.2">
      <c r="B61" s="52">
        <v>39</v>
      </c>
      <c r="C61" s="38"/>
      <c r="D61" s="38"/>
      <c r="E61" s="38"/>
      <c r="F61" s="43"/>
      <c r="G61" s="38"/>
      <c r="H61" s="44"/>
      <c r="I61" s="45"/>
      <c r="J61" s="40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502"/>
      <c r="AB61" s="40"/>
      <c r="AC61" s="503"/>
      <c r="AD61" s="46"/>
    </row>
    <row r="62" spans="2:30" ht="16.05" customHeight="1" x14ac:dyDescent="0.2">
      <c r="B62" s="52">
        <v>40</v>
      </c>
      <c r="C62" s="38"/>
      <c r="D62" s="38"/>
      <c r="E62" s="38"/>
      <c r="F62" s="43"/>
      <c r="G62" s="38"/>
      <c r="H62" s="44"/>
      <c r="I62" s="45"/>
      <c r="J62" s="4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502"/>
      <c r="AB62" s="40"/>
      <c r="AC62" s="503"/>
      <c r="AD62" s="46"/>
    </row>
    <row r="63" spans="2:30" ht="16.05" customHeight="1" x14ac:dyDescent="0.2">
      <c r="B63" s="52">
        <v>41</v>
      </c>
      <c r="C63" s="38"/>
      <c r="D63" s="38"/>
      <c r="E63" s="38"/>
      <c r="F63" s="43"/>
      <c r="G63" s="38"/>
      <c r="H63" s="44"/>
      <c r="I63" s="45"/>
      <c r="J63" s="40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502"/>
      <c r="AB63" s="40"/>
      <c r="AC63" s="503"/>
      <c r="AD63" s="46"/>
    </row>
    <row r="64" spans="2:30" ht="16.05" customHeight="1" x14ac:dyDescent="0.2">
      <c r="B64" s="52">
        <v>42</v>
      </c>
      <c r="C64" s="38"/>
      <c r="D64" s="38"/>
      <c r="E64" s="38"/>
      <c r="F64" s="43"/>
      <c r="G64" s="38"/>
      <c r="H64" s="44"/>
      <c r="I64" s="45"/>
      <c r="J64" s="40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502"/>
      <c r="AB64" s="40"/>
      <c r="AC64" s="503"/>
      <c r="AD64" s="46"/>
    </row>
    <row r="65" spans="2:30" ht="16.05" customHeight="1" x14ac:dyDescent="0.2">
      <c r="B65" s="52">
        <v>43</v>
      </c>
      <c r="C65" s="38"/>
      <c r="D65" s="38"/>
      <c r="E65" s="38"/>
      <c r="F65" s="43"/>
      <c r="G65" s="38"/>
      <c r="H65" s="44"/>
      <c r="I65" s="45"/>
      <c r="J65" s="40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502"/>
      <c r="AB65" s="40"/>
      <c r="AC65" s="503"/>
      <c r="AD65" s="46"/>
    </row>
    <row r="66" spans="2:30" ht="16.05" customHeight="1" x14ac:dyDescent="0.2">
      <c r="B66" s="52">
        <v>44</v>
      </c>
      <c r="C66" s="38"/>
      <c r="D66" s="38"/>
      <c r="E66" s="38"/>
      <c r="F66" s="43"/>
      <c r="G66" s="38"/>
      <c r="H66" s="44"/>
      <c r="I66" s="45"/>
      <c r="J66" s="40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502"/>
      <c r="AB66" s="40"/>
      <c r="AC66" s="503"/>
      <c r="AD66" s="46"/>
    </row>
    <row r="67" spans="2:30" ht="16.05" customHeight="1" x14ac:dyDescent="0.2">
      <c r="B67" s="52">
        <v>45</v>
      </c>
      <c r="C67" s="38"/>
      <c r="D67" s="38"/>
      <c r="E67" s="38"/>
      <c r="F67" s="43"/>
      <c r="G67" s="38"/>
      <c r="H67" s="44"/>
      <c r="I67" s="45"/>
      <c r="J67" s="40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502"/>
      <c r="AB67" s="40"/>
      <c r="AC67" s="503"/>
      <c r="AD67" s="46"/>
    </row>
    <row r="68" spans="2:30" ht="16.05" customHeight="1" x14ac:dyDescent="0.2">
      <c r="B68" s="52">
        <v>46</v>
      </c>
      <c r="C68" s="38"/>
      <c r="D68" s="38"/>
      <c r="E68" s="38"/>
      <c r="F68" s="43"/>
      <c r="G68" s="38"/>
      <c r="H68" s="44"/>
      <c r="I68" s="45"/>
      <c r="J68" s="40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502"/>
      <c r="AB68" s="40"/>
      <c r="AC68" s="503"/>
      <c r="AD68" s="46"/>
    </row>
    <row r="69" spans="2:30" ht="16.05" customHeight="1" x14ac:dyDescent="0.2">
      <c r="B69" s="52">
        <v>47</v>
      </c>
      <c r="C69" s="38"/>
      <c r="D69" s="38"/>
      <c r="E69" s="38"/>
      <c r="F69" s="43"/>
      <c r="G69" s="38"/>
      <c r="H69" s="44"/>
      <c r="I69" s="45"/>
      <c r="J69" s="40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502"/>
      <c r="AB69" s="40"/>
      <c r="AC69" s="503"/>
      <c r="AD69" s="46"/>
    </row>
    <row r="70" spans="2:30" ht="16.05" customHeight="1" x14ac:dyDescent="0.2">
      <c r="B70" s="52">
        <v>48</v>
      </c>
      <c r="C70" s="38"/>
      <c r="D70" s="38"/>
      <c r="E70" s="38"/>
      <c r="F70" s="43"/>
      <c r="G70" s="38"/>
      <c r="H70" s="44"/>
      <c r="I70" s="45"/>
      <c r="J70" s="40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502"/>
      <c r="AB70" s="40"/>
      <c r="AC70" s="503"/>
      <c r="AD70" s="46"/>
    </row>
    <row r="71" spans="2:30" ht="16.05" customHeight="1" x14ac:dyDescent="0.2">
      <c r="B71" s="52">
        <v>49</v>
      </c>
      <c r="C71" s="38"/>
      <c r="D71" s="38"/>
      <c r="E71" s="38"/>
      <c r="F71" s="43"/>
      <c r="G71" s="38"/>
      <c r="H71" s="44"/>
      <c r="I71" s="45"/>
      <c r="J71" s="40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502"/>
      <c r="AB71" s="40"/>
      <c r="AC71" s="503"/>
      <c r="AD71" s="46"/>
    </row>
    <row r="72" spans="2:30" ht="16.05" customHeight="1" x14ac:dyDescent="0.2">
      <c r="B72" s="52">
        <v>50</v>
      </c>
      <c r="C72" s="38"/>
      <c r="D72" s="38"/>
      <c r="E72" s="38"/>
      <c r="F72" s="43"/>
      <c r="G72" s="38"/>
      <c r="H72" s="44"/>
      <c r="I72" s="45"/>
      <c r="J72" s="40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502"/>
      <c r="AB72" s="40"/>
      <c r="AC72" s="503"/>
      <c r="AD72" s="46"/>
    </row>
    <row r="73" spans="2:30" ht="16.05" customHeight="1" x14ac:dyDescent="0.2">
      <c r="B73" s="52">
        <v>51</v>
      </c>
      <c r="C73" s="38"/>
      <c r="D73" s="38"/>
      <c r="E73" s="38"/>
      <c r="F73" s="43"/>
      <c r="G73" s="38"/>
      <c r="H73" s="44"/>
      <c r="I73" s="45"/>
      <c r="J73" s="40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502"/>
      <c r="AB73" s="40"/>
      <c r="AC73" s="503"/>
      <c r="AD73" s="46"/>
    </row>
    <row r="74" spans="2:30" ht="16.05" customHeight="1" x14ac:dyDescent="0.2">
      <c r="B74" s="52">
        <v>52</v>
      </c>
      <c r="C74" s="38"/>
      <c r="D74" s="38"/>
      <c r="E74" s="38"/>
      <c r="F74" s="43"/>
      <c r="G74" s="38"/>
      <c r="H74" s="44"/>
      <c r="I74" s="45"/>
      <c r="J74" s="40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502"/>
      <c r="AB74" s="40"/>
      <c r="AC74" s="503"/>
      <c r="AD74" s="46"/>
    </row>
    <row r="75" spans="2:30" ht="16.05" customHeight="1" x14ac:dyDescent="0.2">
      <c r="B75" s="52">
        <v>53</v>
      </c>
      <c r="C75" s="38"/>
      <c r="D75" s="38"/>
      <c r="E75" s="38"/>
      <c r="F75" s="43"/>
      <c r="G75" s="38"/>
      <c r="H75" s="44"/>
      <c r="I75" s="45"/>
      <c r="J75" s="40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502"/>
      <c r="AB75" s="40"/>
      <c r="AC75" s="503"/>
      <c r="AD75" s="46"/>
    </row>
    <row r="76" spans="2:30" ht="16.05" customHeight="1" x14ac:dyDescent="0.2">
      <c r="B76" s="52">
        <v>54</v>
      </c>
      <c r="C76" s="38"/>
      <c r="D76" s="38"/>
      <c r="E76" s="38"/>
      <c r="F76" s="43"/>
      <c r="G76" s="38"/>
      <c r="H76" s="44"/>
      <c r="I76" s="45"/>
      <c r="J76" s="40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502"/>
      <c r="AB76" s="40"/>
      <c r="AC76" s="503"/>
      <c r="AD76" s="46"/>
    </row>
    <row r="77" spans="2:30" ht="16.05" customHeight="1" x14ac:dyDescent="0.2">
      <c r="B77" s="52">
        <v>55</v>
      </c>
      <c r="C77" s="38"/>
      <c r="D77" s="38"/>
      <c r="E77" s="38"/>
      <c r="F77" s="43"/>
      <c r="G77" s="38"/>
      <c r="H77" s="44"/>
      <c r="I77" s="45"/>
      <c r="J77" s="40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502"/>
      <c r="AB77" s="40"/>
      <c r="AC77" s="503"/>
      <c r="AD77" s="46"/>
    </row>
    <row r="78" spans="2:30" ht="16.05" customHeight="1" x14ac:dyDescent="0.2">
      <c r="B78" s="52">
        <v>56</v>
      </c>
      <c r="C78" s="38"/>
      <c r="D78" s="38"/>
      <c r="E78" s="38"/>
      <c r="F78" s="43"/>
      <c r="G78" s="38"/>
      <c r="H78" s="44"/>
      <c r="I78" s="45"/>
      <c r="J78" s="40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502"/>
      <c r="AB78" s="40"/>
      <c r="AC78" s="503"/>
      <c r="AD78" s="46"/>
    </row>
    <row r="79" spans="2:30" ht="16.05" customHeight="1" x14ac:dyDescent="0.2">
      <c r="B79" s="52">
        <v>57</v>
      </c>
      <c r="C79" s="38"/>
      <c r="D79" s="38"/>
      <c r="E79" s="38"/>
      <c r="F79" s="43"/>
      <c r="G79" s="38"/>
      <c r="H79" s="44"/>
      <c r="I79" s="45"/>
      <c r="J79" s="40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502"/>
      <c r="AB79" s="40"/>
      <c r="AC79" s="503"/>
      <c r="AD79" s="46"/>
    </row>
    <row r="80" spans="2:30" ht="16.05" customHeight="1" x14ac:dyDescent="0.2">
      <c r="B80" s="52">
        <v>58</v>
      </c>
      <c r="C80" s="38"/>
      <c r="D80" s="38"/>
      <c r="E80" s="38"/>
      <c r="F80" s="43"/>
      <c r="G80" s="38"/>
      <c r="H80" s="44"/>
      <c r="I80" s="45"/>
      <c r="J80" s="40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502"/>
      <c r="AB80" s="40"/>
      <c r="AC80" s="503"/>
      <c r="AD80" s="46"/>
    </row>
    <row r="81" spans="2:30" ht="16.05" customHeight="1" x14ac:dyDescent="0.2">
      <c r="B81" s="52">
        <v>59</v>
      </c>
      <c r="C81" s="38"/>
      <c r="D81" s="38"/>
      <c r="E81" s="38"/>
      <c r="F81" s="43"/>
      <c r="G81" s="38"/>
      <c r="H81" s="44"/>
      <c r="I81" s="45"/>
      <c r="J81" s="40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502"/>
      <c r="AB81" s="40"/>
      <c r="AC81" s="503"/>
      <c r="AD81" s="46"/>
    </row>
    <row r="82" spans="2:30" ht="16.05" customHeight="1" x14ac:dyDescent="0.2">
      <c r="B82" s="52">
        <v>60</v>
      </c>
      <c r="C82" s="38"/>
      <c r="D82" s="38"/>
      <c r="E82" s="38"/>
      <c r="F82" s="43"/>
      <c r="G82" s="38"/>
      <c r="H82" s="44"/>
      <c r="I82" s="45"/>
      <c r="J82" s="40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502"/>
      <c r="AB82" s="40"/>
      <c r="AC82" s="503"/>
      <c r="AD82" s="46"/>
    </row>
    <row r="83" spans="2:30" ht="16.05" customHeight="1" x14ac:dyDescent="0.2">
      <c r="B83" s="52">
        <v>61</v>
      </c>
      <c r="C83" s="38"/>
      <c r="D83" s="38"/>
      <c r="E83" s="38"/>
      <c r="F83" s="43"/>
      <c r="G83" s="38"/>
      <c r="H83" s="44"/>
      <c r="I83" s="45"/>
      <c r="J83" s="40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502"/>
      <c r="AB83" s="40"/>
      <c r="AC83" s="503"/>
      <c r="AD83" s="46"/>
    </row>
    <row r="84" spans="2:30" ht="16.05" customHeight="1" x14ac:dyDescent="0.2">
      <c r="B84" s="52">
        <v>62</v>
      </c>
      <c r="C84" s="38"/>
      <c r="D84" s="38"/>
      <c r="E84" s="38"/>
      <c r="F84" s="43"/>
      <c r="G84" s="38"/>
      <c r="H84" s="44"/>
      <c r="I84" s="45"/>
      <c r="J84" s="40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502"/>
      <c r="AB84" s="40"/>
      <c r="AC84" s="503"/>
      <c r="AD84" s="46"/>
    </row>
    <row r="85" spans="2:30" ht="16.05" customHeight="1" x14ac:dyDescent="0.2">
      <c r="B85" s="52">
        <v>63</v>
      </c>
      <c r="C85" s="38"/>
      <c r="D85" s="38"/>
      <c r="E85" s="38"/>
      <c r="F85" s="43"/>
      <c r="G85" s="38"/>
      <c r="H85" s="44"/>
      <c r="I85" s="45"/>
      <c r="J85" s="40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502"/>
      <c r="AB85" s="40"/>
      <c r="AC85" s="503"/>
      <c r="AD85" s="46"/>
    </row>
    <row r="86" spans="2:30" ht="16.05" customHeight="1" x14ac:dyDescent="0.2">
      <c r="B86" s="52">
        <v>64</v>
      </c>
      <c r="C86" s="38"/>
      <c r="D86" s="38"/>
      <c r="E86" s="38"/>
      <c r="F86" s="43"/>
      <c r="G86" s="38"/>
      <c r="H86" s="44"/>
      <c r="I86" s="45"/>
      <c r="J86" s="40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502"/>
      <c r="AB86" s="40"/>
      <c r="AC86" s="503"/>
      <c r="AD86" s="46"/>
    </row>
    <row r="87" spans="2:30" ht="16.05" customHeight="1" x14ac:dyDescent="0.2">
      <c r="B87" s="52">
        <v>65</v>
      </c>
      <c r="C87" s="38"/>
      <c r="D87" s="38"/>
      <c r="E87" s="38"/>
      <c r="F87" s="43"/>
      <c r="G87" s="38"/>
      <c r="H87" s="44"/>
      <c r="I87" s="45"/>
      <c r="J87" s="40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502"/>
      <c r="AB87" s="40"/>
      <c r="AC87" s="503"/>
      <c r="AD87" s="46"/>
    </row>
    <row r="88" spans="2:30" ht="16.05" customHeight="1" x14ac:dyDescent="0.2">
      <c r="B88" s="52">
        <v>66</v>
      </c>
      <c r="C88" s="38"/>
      <c r="D88" s="38"/>
      <c r="E88" s="38"/>
      <c r="F88" s="43"/>
      <c r="G88" s="38"/>
      <c r="H88" s="44"/>
      <c r="I88" s="45"/>
      <c r="J88" s="40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502"/>
      <c r="AB88" s="40"/>
      <c r="AC88" s="503"/>
      <c r="AD88" s="46"/>
    </row>
    <row r="89" spans="2:30" ht="16.05" customHeight="1" x14ac:dyDescent="0.2">
      <c r="B89" s="52">
        <v>67</v>
      </c>
      <c r="C89" s="38"/>
      <c r="D89" s="38"/>
      <c r="E89" s="38"/>
      <c r="F89" s="43"/>
      <c r="G89" s="38"/>
      <c r="H89" s="44"/>
      <c r="I89" s="45"/>
      <c r="J89" s="40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502"/>
      <c r="AB89" s="40"/>
      <c r="AC89" s="503"/>
      <c r="AD89" s="46"/>
    </row>
    <row r="90" spans="2:30" ht="16.05" customHeight="1" x14ac:dyDescent="0.2">
      <c r="B90" s="52">
        <v>68</v>
      </c>
      <c r="C90" s="38"/>
      <c r="D90" s="38"/>
      <c r="E90" s="38"/>
      <c r="F90" s="43"/>
      <c r="G90" s="38"/>
      <c r="H90" s="44"/>
      <c r="I90" s="45"/>
      <c r="J90" s="40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502"/>
      <c r="AB90" s="40"/>
      <c r="AC90" s="503"/>
      <c r="AD90" s="46"/>
    </row>
    <row r="91" spans="2:30" ht="16.05" customHeight="1" x14ac:dyDescent="0.2">
      <c r="B91" s="52">
        <v>69</v>
      </c>
      <c r="C91" s="38"/>
      <c r="D91" s="38"/>
      <c r="E91" s="38"/>
      <c r="F91" s="43"/>
      <c r="G91" s="38"/>
      <c r="H91" s="44"/>
      <c r="I91" s="45"/>
      <c r="J91" s="40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502"/>
      <c r="AB91" s="40"/>
      <c r="AC91" s="503"/>
      <c r="AD91" s="46"/>
    </row>
    <row r="92" spans="2:30" ht="16.05" customHeight="1" x14ac:dyDescent="0.2">
      <c r="B92" s="52">
        <v>70</v>
      </c>
      <c r="C92" s="38"/>
      <c r="D92" s="38"/>
      <c r="E92" s="38"/>
      <c r="F92" s="43"/>
      <c r="G92" s="38"/>
      <c r="H92" s="44"/>
      <c r="I92" s="45"/>
      <c r="J92" s="40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502"/>
      <c r="AB92" s="40"/>
      <c r="AC92" s="503"/>
      <c r="AD92" s="46"/>
    </row>
    <row r="93" spans="2:30" ht="16.05" customHeight="1" x14ac:dyDescent="0.2">
      <c r="B93" s="52">
        <v>71</v>
      </c>
      <c r="C93" s="38"/>
      <c r="D93" s="38"/>
      <c r="E93" s="38"/>
      <c r="F93" s="43"/>
      <c r="G93" s="38"/>
      <c r="H93" s="44"/>
      <c r="I93" s="45"/>
      <c r="J93" s="40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502"/>
      <c r="AB93" s="40"/>
      <c r="AC93" s="503"/>
      <c r="AD93" s="46"/>
    </row>
    <row r="94" spans="2:30" ht="16.05" customHeight="1" x14ac:dyDescent="0.2">
      <c r="B94" s="52">
        <v>72</v>
      </c>
      <c r="C94" s="38"/>
      <c r="D94" s="38"/>
      <c r="E94" s="38"/>
      <c r="F94" s="43"/>
      <c r="G94" s="38"/>
      <c r="H94" s="44"/>
      <c r="I94" s="45"/>
      <c r="J94" s="40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502"/>
      <c r="AB94" s="40"/>
      <c r="AC94" s="503"/>
      <c r="AD94" s="46"/>
    </row>
    <row r="95" spans="2:30" ht="16.05" customHeight="1" x14ac:dyDescent="0.2">
      <c r="B95" s="52">
        <v>73</v>
      </c>
      <c r="C95" s="38"/>
      <c r="D95" s="38"/>
      <c r="E95" s="38"/>
      <c r="F95" s="43"/>
      <c r="G95" s="38"/>
      <c r="H95" s="44"/>
      <c r="I95" s="45"/>
      <c r="J95" s="40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502"/>
      <c r="AB95" s="40"/>
      <c r="AC95" s="503"/>
      <c r="AD95" s="46"/>
    </row>
    <row r="96" spans="2:30" ht="16.05" customHeight="1" x14ac:dyDescent="0.2">
      <c r="B96" s="52">
        <v>74</v>
      </c>
      <c r="C96" s="38"/>
      <c r="D96" s="38"/>
      <c r="E96" s="38"/>
      <c r="F96" s="43"/>
      <c r="G96" s="38"/>
      <c r="H96" s="44"/>
      <c r="I96" s="45"/>
      <c r="J96" s="40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502"/>
      <c r="AB96" s="40"/>
      <c r="AC96" s="503"/>
      <c r="AD96" s="46"/>
    </row>
    <row r="97" spans="2:30" ht="16.05" customHeight="1" x14ac:dyDescent="0.2">
      <c r="B97" s="52">
        <v>75</v>
      </c>
      <c r="C97" s="38"/>
      <c r="D97" s="38"/>
      <c r="E97" s="38"/>
      <c r="F97" s="43"/>
      <c r="G97" s="38"/>
      <c r="H97" s="44"/>
      <c r="I97" s="45"/>
      <c r="J97" s="40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502"/>
      <c r="AB97" s="40"/>
      <c r="AC97" s="503"/>
      <c r="AD97" s="46"/>
    </row>
    <row r="98" spans="2:30" ht="16.05" customHeight="1" x14ac:dyDescent="0.2">
      <c r="B98" s="52">
        <v>76</v>
      </c>
      <c r="C98" s="38"/>
      <c r="D98" s="38"/>
      <c r="E98" s="38"/>
      <c r="F98" s="43"/>
      <c r="G98" s="38"/>
      <c r="H98" s="44"/>
      <c r="I98" s="45"/>
      <c r="J98" s="40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502"/>
      <c r="AB98" s="40"/>
      <c r="AC98" s="503"/>
      <c r="AD98" s="46"/>
    </row>
    <row r="99" spans="2:30" ht="16.05" customHeight="1" x14ac:dyDescent="0.2">
      <c r="B99" s="52">
        <v>77</v>
      </c>
      <c r="C99" s="38"/>
      <c r="D99" s="38"/>
      <c r="E99" s="38"/>
      <c r="F99" s="43"/>
      <c r="G99" s="38"/>
      <c r="H99" s="44"/>
      <c r="I99" s="45"/>
      <c r="J99" s="40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502"/>
      <c r="AB99" s="40"/>
      <c r="AC99" s="503"/>
      <c r="AD99" s="46"/>
    </row>
    <row r="100" spans="2:30" ht="16.05" customHeight="1" x14ac:dyDescent="0.2">
      <c r="B100" s="52">
        <v>78</v>
      </c>
      <c r="C100" s="38"/>
      <c r="D100" s="38"/>
      <c r="E100" s="38"/>
      <c r="F100" s="43"/>
      <c r="G100" s="38"/>
      <c r="H100" s="44"/>
      <c r="I100" s="45"/>
      <c r="J100" s="40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502"/>
      <c r="AB100" s="40"/>
      <c r="AC100" s="503"/>
      <c r="AD100" s="46"/>
    </row>
    <row r="101" spans="2:30" ht="16.05" customHeight="1" x14ac:dyDescent="0.2">
      <c r="B101" s="52">
        <v>79</v>
      </c>
      <c r="C101" s="38"/>
      <c r="D101" s="38"/>
      <c r="E101" s="38"/>
      <c r="F101" s="43"/>
      <c r="G101" s="38"/>
      <c r="H101" s="44"/>
      <c r="I101" s="45"/>
      <c r="J101" s="40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502"/>
      <c r="AB101" s="40"/>
      <c r="AC101" s="503"/>
      <c r="AD101" s="46"/>
    </row>
    <row r="102" spans="2:30" ht="16.05" customHeight="1" x14ac:dyDescent="0.2">
      <c r="B102" s="52">
        <v>80</v>
      </c>
      <c r="C102" s="38"/>
      <c r="D102" s="38"/>
      <c r="E102" s="38"/>
      <c r="F102" s="43"/>
      <c r="G102" s="38"/>
      <c r="H102" s="44"/>
      <c r="I102" s="45"/>
      <c r="J102" s="40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502"/>
      <c r="AB102" s="40"/>
      <c r="AC102" s="503"/>
      <c r="AD102" s="46"/>
    </row>
    <row r="103" spans="2:30" ht="16.05" customHeight="1" x14ac:dyDescent="0.2">
      <c r="B103" s="52">
        <v>81</v>
      </c>
      <c r="C103" s="27"/>
      <c r="D103" s="27"/>
      <c r="E103" s="27"/>
      <c r="F103" s="30"/>
      <c r="G103" s="38"/>
      <c r="H103" s="44"/>
      <c r="I103" s="3"/>
      <c r="J103" s="40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502"/>
      <c r="AB103" s="40"/>
      <c r="AC103" s="503"/>
      <c r="AD103" s="46"/>
    </row>
    <row r="104" spans="2:30" ht="16.05" customHeight="1" x14ac:dyDescent="0.2">
      <c r="B104" s="52">
        <v>82</v>
      </c>
      <c r="C104" s="27"/>
      <c r="D104" s="27"/>
      <c r="E104" s="27"/>
      <c r="F104" s="27"/>
      <c r="G104" s="38"/>
      <c r="H104" s="44"/>
      <c r="I104" s="3"/>
      <c r="J104" s="40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502"/>
      <c r="AB104" s="40"/>
      <c r="AC104" s="503"/>
      <c r="AD104" s="46"/>
    </row>
    <row r="105" spans="2:30" ht="16.05" customHeight="1" x14ac:dyDescent="0.2">
      <c r="B105" s="52">
        <v>83</v>
      </c>
      <c r="C105" s="27"/>
      <c r="D105" s="27"/>
      <c r="E105" s="27"/>
      <c r="F105" s="27"/>
      <c r="G105" s="38"/>
      <c r="H105" s="44"/>
      <c r="I105" s="3"/>
      <c r="J105" s="40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502"/>
      <c r="AB105" s="40"/>
      <c r="AC105" s="503"/>
      <c r="AD105" s="46"/>
    </row>
    <row r="106" spans="2:30" ht="16.05" customHeight="1" x14ac:dyDescent="0.2">
      <c r="B106" s="52">
        <v>84</v>
      </c>
      <c r="C106" s="27"/>
      <c r="D106" s="27"/>
      <c r="E106" s="27"/>
      <c r="F106" s="27"/>
      <c r="G106" s="38"/>
      <c r="H106" s="44"/>
      <c r="I106" s="3"/>
      <c r="J106" s="40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502"/>
      <c r="AB106" s="40"/>
      <c r="AC106" s="503"/>
      <c r="AD106" s="46"/>
    </row>
    <row r="107" spans="2:30" ht="16.05" customHeight="1" x14ac:dyDescent="0.2">
      <c r="B107" s="52">
        <v>85</v>
      </c>
      <c r="C107" s="27"/>
      <c r="D107" s="27"/>
      <c r="E107" s="27"/>
      <c r="F107" s="27"/>
      <c r="G107" s="38"/>
      <c r="H107" s="44"/>
      <c r="I107" s="3"/>
      <c r="J107" s="40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502"/>
      <c r="AB107" s="40"/>
      <c r="AC107" s="503"/>
      <c r="AD107" s="46"/>
    </row>
    <row r="108" spans="2:30" ht="16.05" customHeight="1" x14ac:dyDescent="0.2">
      <c r="B108" s="52">
        <v>86</v>
      </c>
      <c r="C108" s="27"/>
      <c r="D108" s="27"/>
      <c r="E108" s="27"/>
      <c r="F108" s="27"/>
      <c r="G108" s="38"/>
      <c r="H108" s="44"/>
      <c r="I108" s="3"/>
      <c r="J108" s="40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502"/>
      <c r="AB108" s="40"/>
      <c r="AC108" s="503"/>
      <c r="AD108" s="46"/>
    </row>
    <row r="109" spans="2:30" ht="16.05" customHeight="1" x14ac:dyDescent="0.2">
      <c r="B109" s="52">
        <v>87</v>
      </c>
      <c r="C109" s="27"/>
      <c r="D109" s="27"/>
      <c r="E109" s="27"/>
      <c r="F109" s="27"/>
      <c r="G109" s="38"/>
      <c r="H109" s="44"/>
      <c r="I109" s="3"/>
      <c r="J109" s="40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502"/>
      <c r="AB109" s="40"/>
      <c r="AC109" s="503"/>
      <c r="AD109" s="46"/>
    </row>
    <row r="110" spans="2:30" ht="16.05" customHeight="1" x14ac:dyDescent="0.2">
      <c r="B110" s="52">
        <v>88</v>
      </c>
      <c r="C110" s="27"/>
      <c r="D110" s="27"/>
      <c r="E110" s="27"/>
      <c r="F110" s="27"/>
      <c r="G110" s="38"/>
      <c r="H110" s="44"/>
      <c r="I110" s="3"/>
      <c r="J110" s="40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502"/>
      <c r="AB110" s="40"/>
      <c r="AC110" s="503"/>
      <c r="AD110" s="46"/>
    </row>
    <row r="111" spans="2:30" ht="16.05" customHeight="1" x14ac:dyDescent="0.2">
      <c r="B111" s="52">
        <v>89</v>
      </c>
      <c r="C111" s="27"/>
      <c r="D111" s="27"/>
      <c r="E111" s="27"/>
      <c r="F111" s="27"/>
      <c r="G111" s="38"/>
      <c r="H111" s="44"/>
      <c r="I111" s="3"/>
      <c r="J111" s="40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502"/>
      <c r="AB111" s="40"/>
      <c r="AC111" s="503"/>
      <c r="AD111" s="46"/>
    </row>
    <row r="112" spans="2:30" ht="16.05" customHeight="1" x14ac:dyDescent="0.2">
      <c r="B112" s="52">
        <v>90</v>
      </c>
      <c r="C112" s="27"/>
      <c r="D112" s="27"/>
      <c r="E112" s="27"/>
      <c r="F112" s="27"/>
      <c r="G112" s="38"/>
      <c r="H112" s="44"/>
      <c r="I112" s="3"/>
      <c r="J112" s="40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502"/>
      <c r="AB112" s="40"/>
      <c r="AC112" s="503"/>
      <c r="AD112" s="46"/>
    </row>
    <row r="113" spans="2:30" ht="16.05" customHeight="1" x14ac:dyDescent="0.2">
      <c r="B113" s="52">
        <v>91</v>
      </c>
      <c r="C113" s="27"/>
      <c r="D113" s="27"/>
      <c r="E113" s="27"/>
      <c r="F113" s="27"/>
      <c r="G113" s="38"/>
      <c r="H113" s="44"/>
      <c r="I113" s="3"/>
      <c r="J113" s="40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502"/>
      <c r="AB113" s="40"/>
      <c r="AC113" s="503"/>
      <c r="AD113" s="46"/>
    </row>
    <row r="114" spans="2:30" ht="16.05" customHeight="1" x14ac:dyDescent="0.2">
      <c r="B114" s="52">
        <v>92</v>
      </c>
      <c r="C114" s="27"/>
      <c r="D114" s="27"/>
      <c r="E114" s="27"/>
      <c r="F114" s="27"/>
      <c r="G114" s="38"/>
      <c r="H114" s="44"/>
      <c r="I114" s="3"/>
      <c r="J114" s="40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502"/>
      <c r="AB114" s="40"/>
      <c r="AC114" s="503"/>
      <c r="AD114" s="46"/>
    </row>
    <row r="115" spans="2:30" ht="16.05" customHeight="1" x14ac:dyDescent="0.2">
      <c r="B115" s="52">
        <v>93</v>
      </c>
      <c r="C115" s="27"/>
      <c r="D115" s="27"/>
      <c r="E115" s="27"/>
      <c r="F115" s="27"/>
      <c r="G115" s="38"/>
      <c r="H115" s="44"/>
      <c r="I115" s="3"/>
      <c r="J115" s="40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502"/>
      <c r="AB115" s="40"/>
      <c r="AC115" s="503"/>
      <c r="AD115" s="46"/>
    </row>
    <row r="116" spans="2:30" ht="16.05" customHeight="1" x14ac:dyDescent="0.2">
      <c r="B116" s="52">
        <v>94</v>
      </c>
      <c r="C116" s="27"/>
      <c r="D116" s="27"/>
      <c r="E116" s="27"/>
      <c r="F116" s="27"/>
      <c r="G116" s="38"/>
      <c r="H116" s="44"/>
      <c r="I116" s="3"/>
      <c r="J116" s="40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502"/>
      <c r="AB116" s="40"/>
      <c r="AC116" s="503"/>
      <c r="AD116" s="46"/>
    </row>
    <row r="117" spans="2:30" ht="16.05" customHeight="1" x14ac:dyDescent="0.2">
      <c r="B117" s="52">
        <v>95</v>
      </c>
      <c r="C117" s="27"/>
      <c r="D117" s="27"/>
      <c r="E117" s="27"/>
      <c r="F117" s="27"/>
      <c r="G117" s="38"/>
      <c r="H117" s="44"/>
      <c r="I117" s="3"/>
      <c r="J117" s="40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502"/>
      <c r="AB117" s="40"/>
      <c r="AC117" s="503"/>
      <c r="AD117" s="46"/>
    </row>
    <row r="118" spans="2:30" ht="16.05" customHeight="1" x14ac:dyDescent="0.2">
      <c r="B118" s="52">
        <v>96</v>
      </c>
      <c r="C118" s="27"/>
      <c r="D118" s="27"/>
      <c r="E118" s="27"/>
      <c r="F118" s="27"/>
      <c r="G118" s="38"/>
      <c r="H118" s="44"/>
      <c r="I118" s="3"/>
      <c r="J118" s="40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502"/>
      <c r="AB118" s="40"/>
      <c r="AC118" s="503"/>
      <c r="AD118" s="46"/>
    </row>
    <row r="119" spans="2:30" ht="16.05" customHeight="1" x14ac:dyDescent="0.2">
      <c r="B119" s="52">
        <v>97</v>
      </c>
      <c r="C119" s="27"/>
      <c r="D119" s="27"/>
      <c r="E119" s="27"/>
      <c r="F119" s="27"/>
      <c r="G119" s="38"/>
      <c r="H119" s="44"/>
      <c r="I119" s="3"/>
      <c r="J119" s="40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502"/>
      <c r="AB119" s="40"/>
      <c r="AC119" s="503"/>
      <c r="AD119" s="46"/>
    </row>
    <row r="120" spans="2:30" ht="16.05" customHeight="1" x14ac:dyDescent="0.2">
      <c r="B120" s="52">
        <v>98</v>
      </c>
      <c r="C120" s="27"/>
      <c r="D120" s="27"/>
      <c r="E120" s="27"/>
      <c r="F120" s="27"/>
      <c r="G120" s="38"/>
      <c r="H120" s="44"/>
      <c r="I120" s="3"/>
      <c r="J120" s="40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502"/>
      <c r="AB120" s="40"/>
      <c r="AC120" s="503"/>
      <c r="AD120" s="46"/>
    </row>
    <row r="121" spans="2:30" ht="16.05" customHeight="1" x14ac:dyDescent="0.2">
      <c r="B121" s="52">
        <v>99</v>
      </c>
      <c r="C121" s="27"/>
      <c r="D121" s="27"/>
      <c r="E121" s="27"/>
      <c r="F121" s="27"/>
      <c r="G121" s="38"/>
      <c r="H121" s="44"/>
      <c r="I121" s="3"/>
      <c r="J121" s="40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502"/>
      <c r="AB121" s="40"/>
      <c r="AC121" s="503"/>
      <c r="AD121" s="46"/>
    </row>
    <row r="122" spans="2:30" ht="16.05" customHeight="1" x14ac:dyDescent="0.2">
      <c r="B122" s="52">
        <v>100</v>
      </c>
      <c r="C122" s="27"/>
      <c r="D122" s="27"/>
      <c r="E122" s="27"/>
      <c r="F122" s="27"/>
      <c r="G122" s="38"/>
      <c r="H122" s="44"/>
      <c r="I122" s="3"/>
      <c r="J122" s="40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502"/>
      <c r="AB122" s="40"/>
      <c r="AC122" s="503"/>
      <c r="AD122" s="46"/>
    </row>
  </sheetData>
  <sheetProtection algorithmName="SHA-512" hashValue="17O/FIO8n/BZXOc53EwMPj8tYHkeaNbrDRAaAvg6fWuFPp04DaWxZV3AQ5hSrRxknUqXSHE1whhUlOFoMc808Q==" saltValue="3gDZ8igD02vHTeP4iF7tlg==" spinCount="100000" sheet="1" objects="1" scenarios="1" selectLockedCells="1"/>
  <mergeCells count="59">
    <mergeCell ref="B9:C9"/>
    <mergeCell ref="B10:C10"/>
    <mergeCell ref="B11:C11"/>
    <mergeCell ref="B12:C12"/>
    <mergeCell ref="K14:W14"/>
    <mergeCell ref="D8:AD8"/>
    <mergeCell ref="D7:AD7"/>
    <mergeCell ref="D10:AD10"/>
    <mergeCell ref="D11:AD11"/>
    <mergeCell ref="Z2:AD2"/>
    <mergeCell ref="Z5:AA5"/>
    <mergeCell ref="Z3:AD3"/>
    <mergeCell ref="D2:Y2"/>
    <mergeCell ref="D9:AD9"/>
    <mergeCell ref="D12:L12"/>
    <mergeCell ref="X14:X22"/>
    <mergeCell ref="Y14:Y22"/>
    <mergeCell ref="Z14:Z22"/>
    <mergeCell ref="AA14:AA22"/>
    <mergeCell ref="D15:F15"/>
    <mergeCell ref="V15:V22"/>
    <mergeCell ref="B7:C7"/>
    <mergeCell ref="B2:C5"/>
    <mergeCell ref="D3:W3"/>
    <mergeCell ref="D5:W5"/>
    <mergeCell ref="B8:C8"/>
    <mergeCell ref="B6:C6"/>
    <mergeCell ref="M15:M22"/>
    <mergeCell ref="N15:N22"/>
    <mergeCell ref="B14:C14"/>
    <mergeCell ref="C21:F21"/>
    <mergeCell ref="B20:C20"/>
    <mergeCell ref="P15:P22"/>
    <mergeCell ref="Q15:Q22"/>
    <mergeCell ref="R15:R22"/>
    <mergeCell ref="S15:S22"/>
    <mergeCell ref="B17:C17"/>
    <mergeCell ref="D14:F14"/>
    <mergeCell ref="H16:H22"/>
    <mergeCell ref="H14:I15"/>
    <mergeCell ref="B16:C16"/>
    <mergeCell ref="B18:C18"/>
    <mergeCell ref="B15:C15"/>
    <mergeCell ref="B19:C19"/>
    <mergeCell ref="B21:B22"/>
    <mergeCell ref="AC14:AC22"/>
    <mergeCell ref="AD14:AD22"/>
    <mergeCell ref="K15:K22"/>
    <mergeCell ref="D19:F19"/>
    <mergeCell ref="G14:G22"/>
    <mergeCell ref="W15:W22"/>
    <mergeCell ref="T15:T22"/>
    <mergeCell ref="U15:U22"/>
    <mergeCell ref="L15:L22"/>
    <mergeCell ref="D18:F18"/>
    <mergeCell ref="O15:O22"/>
    <mergeCell ref="J14:J22"/>
    <mergeCell ref="I16:I22"/>
    <mergeCell ref="AB14:AB22"/>
  </mergeCells>
  <dataValidations count="1">
    <dataValidation type="whole" operator="greaterThanOrEqual" allowBlank="1" showInputMessage="1" showErrorMessage="1" sqref="G103:G122" xr:uid="{00000000-0002-0000-0000-000000000000}">
      <formula1>0</formula1>
    </dataValidation>
  </dataValidations>
  <printOptions horizontalCentered="1" verticalCentered="1"/>
  <pageMargins left="0.39370078740157483" right="0.39370078740157483" top="0.31496062992125984" bottom="0.31496062992125984" header="0" footer="0"/>
  <pageSetup paperSize="135" scale="90" orientation="landscape" horizontalDpi="1200" verticalDpi="1200" r:id="rId1"/>
  <headerFooter>
    <oddFooter xml:space="preserve">&amp;L&amp;8  La Gobernación de Norte de Santander garantiza la seguridad y confidencialidad del tratamiento de los datos sensibles o personales suministrados. No serán visibles ni publicados nombres ni documentos de identidad. </oddFooter>
  </headerFooter>
  <rowBreaks count="4" manualBreakCount="4">
    <brk id="42" max="30" man="1"/>
    <brk id="62" max="30" man="1"/>
    <brk id="82" max="30" man="1"/>
    <brk id="102" max="3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TOTALES!$DW$16:$DW$17</xm:f>
          </x14:formula1>
          <xm:sqref>K23:X122</xm:sqref>
        </x14:dataValidation>
        <x14:dataValidation type="list" allowBlank="1" showInputMessage="1" showErrorMessage="1" xr:uid="{00000000-0002-0000-0000-000003000000}">
          <x14:formula1>
            <xm:f>TOTALES!$DU$16:$DU$22</xm:f>
          </x14:formula1>
          <xm:sqref>H23:H122</xm:sqref>
        </x14:dataValidation>
        <x14:dataValidation type="list" allowBlank="1" showInputMessage="1" showErrorMessage="1" xr:uid="{00000000-0002-0000-0000-000004000000}">
          <x14:formula1>
            <xm:f>TOTALES!$DV$16:$DV$17</xm:f>
          </x14:formula1>
          <xm:sqref>J23:J122</xm:sqref>
        </x14:dataValidation>
        <x14:dataValidation type="list" allowBlank="1" showInputMessage="1" showErrorMessage="1" xr:uid="{00000000-0002-0000-0000-000005000000}">
          <x14:formula1>
            <xm:f>TOTALES!$EC$16:$EC$24</xm:f>
          </x14:formula1>
          <xm:sqref>AD23:AD122</xm:sqref>
        </x14:dataValidation>
        <x14:dataValidation type="list" allowBlank="1" showInputMessage="1" showErrorMessage="1" xr:uid="{00000000-0002-0000-0000-000001000000}">
          <x14:formula1>
            <xm:f>TOTALES!$DX$16:$DX$23</xm:f>
          </x14:formula1>
          <xm:sqref>Y23:Y122</xm:sqref>
        </x14:dataValidation>
        <x14:dataValidation type="list" allowBlank="1" showInputMessage="1" showErrorMessage="1" xr:uid="{452876E5-011F-451E-8CE7-A98CEA9B58CB}">
          <x14:formula1>
            <xm:f>TOTALES!$DY$16:$DY$32</xm:f>
          </x14:formula1>
          <xm:sqref>Z23:Z122</xm:sqref>
        </x14:dataValidation>
        <x14:dataValidation type="list" allowBlank="1" showInputMessage="1" showErrorMessage="1" xr:uid="{F8A2F5A7-1773-429B-9A5D-529D4204267E}">
          <x14:formula1>
            <xm:f>TOTALES!$EA$16:$EA$23</xm:f>
          </x14:formula1>
          <xm:sqref>AA23:AA122</xm:sqref>
        </x14:dataValidation>
        <x14:dataValidation type="list" allowBlank="1" showInputMessage="1" showErrorMessage="1" xr:uid="{CBDE0905-4CE6-43F8-923F-96A3FA543376}">
          <x14:formula1>
            <xm:f>TOTALES!$EB$16:$EB$17</xm:f>
          </x14:formula1>
          <xm:sqref>AB23:AB122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H108"/>
  <sheetViews>
    <sheetView showGridLines="0" view="pageBreakPreview" zoomScale="80" zoomScaleNormal="80" zoomScaleSheetLayoutView="80" workbookViewId="0">
      <selection activeCell="EC25" sqref="EC25"/>
    </sheetView>
  </sheetViews>
  <sheetFormatPr baseColWidth="10" defaultColWidth="11.44140625" defaultRowHeight="13.2" x14ac:dyDescent="0.25"/>
  <cols>
    <col min="1" max="1" width="1.5546875" style="4" customWidth="1"/>
    <col min="2" max="3" width="2.77734375" style="11" customWidth="1"/>
    <col min="4" max="13" width="3.77734375" style="11" customWidth="1"/>
    <col min="14" max="14" width="3" style="26" customWidth="1"/>
    <col min="15" max="20" width="3.109375" style="26" customWidth="1"/>
    <col min="21" max="21" width="3.77734375" style="26" customWidth="1"/>
    <col min="22" max="22" width="3" style="26" customWidth="1"/>
    <col min="23" max="29" width="3.109375" style="4" customWidth="1"/>
    <col min="30" max="30" width="3.77734375" style="4" customWidth="1"/>
    <col min="31" max="31" width="3" style="4" customWidth="1"/>
    <col min="32" max="33" width="3.109375" style="4" customWidth="1"/>
    <col min="34" max="34" width="3.77734375" style="4" customWidth="1"/>
    <col min="35" max="35" width="3" style="4" customWidth="1"/>
    <col min="36" max="48" width="3.109375" style="4" customWidth="1"/>
    <col min="49" max="49" width="3.77734375" style="4" customWidth="1"/>
    <col min="50" max="50" width="3" style="4" customWidth="1"/>
    <col min="51" max="51" width="3.77734375" style="4" customWidth="1"/>
    <col min="52" max="52" width="2.33203125" style="4" customWidth="1"/>
    <col min="53" max="60" width="3" style="4" customWidth="1"/>
    <col min="61" max="61" width="3.77734375" style="4" customWidth="1"/>
    <col min="62" max="70" width="3" style="4" customWidth="1"/>
    <col min="71" max="71" width="3.77734375" style="4" customWidth="1"/>
    <col min="72" max="72" width="2.77734375" style="4" customWidth="1"/>
    <col min="73" max="75" width="3.77734375" style="4" customWidth="1"/>
    <col min="76" max="76" width="2.77734375" style="4" customWidth="1"/>
    <col min="77" max="85" width="3" style="4" customWidth="1"/>
    <col min="86" max="86" width="3.77734375" style="4" customWidth="1"/>
    <col min="87" max="87" width="2.77734375" style="4" customWidth="1"/>
    <col min="88" max="88" width="3.77734375" style="4" customWidth="1"/>
    <col min="89" max="89" width="3" style="4" customWidth="1"/>
    <col min="90" max="90" width="3.77734375" style="4" customWidth="1"/>
    <col min="91" max="93" width="3" style="4" customWidth="1"/>
    <col min="94" max="94" width="3.77734375" style="4" customWidth="1"/>
    <col min="95" max="96" width="3" style="4" customWidth="1"/>
    <col min="97" max="97" width="3.77734375" style="4" customWidth="1"/>
    <col min="98" max="114" width="3" style="4" customWidth="1"/>
    <col min="115" max="115" width="3" style="26" customWidth="1"/>
    <col min="116" max="122" width="3" style="4" customWidth="1"/>
    <col min="123" max="133" width="3.77734375" style="4" customWidth="1"/>
    <col min="134" max="16384" width="11.44140625" style="4"/>
  </cols>
  <sheetData>
    <row r="1" spans="1:140" ht="15" customHeight="1" x14ac:dyDescent="0.25">
      <c r="B1" s="391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3"/>
      <c r="N1" s="508"/>
      <c r="O1" s="71" t="s">
        <v>219</v>
      </c>
      <c r="P1" s="71"/>
      <c r="Q1" s="71"/>
      <c r="R1" s="71"/>
      <c r="S1" s="422">
        <f>+SEGUIMIENTO!D15</f>
        <v>0</v>
      </c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4"/>
      <c r="AO1" s="509" t="s">
        <v>226</v>
      </c>
      <c r="AP1" s="510"/>
      <c r="AQ1" s="510"/>
      <c r="AR1" s="511"/>
      <c r="AS1" s="512">
        <f>+SEGUIMIENTO!Z3</f>
        <v>44693</v>
      </c>
      <c r="AT1" s="512"/>
      <c r="AU1" s="512"/>
      <c r="AV1" s="512"/>
      <c r="AW1" s="513"/>
      <c r="AX1" s="514"/>
      <c r="AY1" s="71" t="s">
        <v>219</v>
      </c>
      <c r="AZ1" s="71"/>
      <c r="BA1" s="71"/>
      <c r="BB1" s="71"/>
      <c r="BC1" s="422">
        <f>+S1</f>
        <v>0</v>
      </c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4"/>
      <c r="BY1" s="509" t="s">
        <v>226</v>
      </c>
      <c r="BZ1" s="510"/>
      <c r="CA1" s="510"/>
      <c r="CB1" s="511"/>
      <c r="CC1" s="512">
        <f>+AS1</f>
        <v>44693</v>
      </c>
      <c r="CD1" s="512"/>
      <c r="CE1" s="512"/>
      <c r="CF1" s="512"/>
      <c r="CG1" s="513"/>
      <c r="CH1" s="5"/>
      <c r="CI1" s="5"/>
      <c r="CJ1" s="71" t="s">
        <v>219</v>
      </c>
      <c r="CK1" s="71"/>
      <c r="CL1" s="71"/>
      <c r="CM1" s="71"/>
      <c r="CN1" s="422">
        <f>+BC1</f>
        <v>0</v>
      </c>
      <c r="CO1" s="423"/>
      <c r="CP1" s="423"/>
      <c r="CQ1" s="423"/>
      <c r="CR1" s="423"/>
      <c r="CS1" s="423"/>
      <c r="CT1" s="423"/>
      <c r="CU1" s="423"/>
      <c r="CV1" s="423"/>
      <c r="CW1" s="423"/>
      <c r="CX1" s="423"/>
      <c r="CY1" s="423"/>
      <c r="CZ1" s="423"/>
      <c r="DA1" s="423"/>
      <c r="DB1" s="423"/>
      <c r="DC1" s="423"/>
      <c r="DD1" s="423"/>
      <c r="DE1" s="423"/>
      <c r="DF1" s="423"/>
      <c r="DG1" s="423"/>
      <c r="DH1" s="423"/>
      <c r="DI1" s="424"/>
      <c r="DJ1" s="509" t="s">
        <v>226</v>
      </c>
      <c r="DK1" s="510"/>
      <c r="DL1" s="510"/>
      <c r="DM1" s="511"/>
      <c r="DN1" s="512">
        <f>+CC1</f>
        <v>44693</v>
      </c>
      <c r="DO1" s="512"/>
      <c r="DP1" s="512"/>
      <c r="DQ1" s="512"/>
      <c r="DR1" s="513"/>
      <c r="DS1" s="7"/>
    </row>
    <row r="2" spans="1:140" ht="15" customHeight="1" x14ac:dyDescent="0.25">
      <c r="B2" s="515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7"/>
      <c r="N2" s="508"/>
      <c r="O2" s="71" t="s">
        <v>220</v>
      </c>
      <c r="P2" s="71"/>
      <c r="Q2" s="71"/>
      <c r="R2" s="71"/>
      <c r="S2" s="518">
        <f>+SEGUIMIENTO!D17</f>
        <v>0</v>
      </c>
      <c r="T2" s="518"/>
      <c r="U2" s="518"/>
      <c r="V2" s="518"/>
      <c r="W2" s="518"/>
      <c r="X2" s="71" t="s">
        <v>225</v>
      </c>
      <c r="Y2" s="71"/>
      <c r="Z2" s="71"/>
      <c r="AA2" s="71"/>
      <c r="AB2" s="518">
        <f>+SEGUIMIENTO!D16</f>
        <v>0</v>
      </c>
      <c r="AC2" s="518"/>
      <c r="AD2" s="518"/>
      <c r="AE2" s="518"/>
      <c r="AF2" s="518"/>
      <c r="AG2" s="518"/>
      <c r="AH2" s="518"/>
      <c r="AI2" s="518"/>
      <c r="AJ2" s="518"/>
      <c r="AK2" s="81" t="s">
        <v>224</v>
      </c>
      <c r="AL2" s="81"/>
      <c r="AM2" s="81"/>
      <c r="AN2" s="81"/>
      <c r="AO2" s="518">
        <f>+SEGUIMIENTO!F16</f>
        <v>0</v>
      </c>
      <c r="AP2" s="518"/>
      <c r="AQ2" s="518"/>
      <c r="AR2" s="518"/>
      <c r="AS2" s="518"/>
      <c r="AT2" s="518"/>
      <c r="AU2" s="518"/>
      <c r="AV2" s="518"/>
      <c r="AW2" s="518"/>
      <c r="AX2" s="519"/>
      <c r="AY2" s="71" t="s">
        <v>220</v>
      </c>
      <c r="AZ2" s="71"/>
      <c r="BA2" s="71"/>
      <c r="BB2" s="71"/>
      <c r="BC2" s="518">
        <f>+S2</f>
        <v>0</v>
      </c>
      <c r="BD2" s="518"/>
      <c r="BE2" s="518"/>
      <c r="BF2" s="518"/>
      <c r="BG2" s="518"/>
      <c r="BH2" s="71" t="s">
        <v>225</v>
      </c>
      <c r="BI2" s="71"/>
      <c r="BJ2" s="71"/>
      <c r="BK2" s="71"/>
      <c r="BL2" s="518">
        <f>+AB2</f>
        <v>0</v>
      </c>
      <c r="BM2" s="518"/>
      <c r="BN2" s="518"/>
      <c r="BO2" s="518"/>
      <c r="BP2" s="518"/>
      <c r="BQ2" s="518"/>
      <c r="BR2" s="518"/>
      <c r="BS2" s="518"/>
      <c r="BT2" s="518"/>
      <c r="BU2" s="81" t="s">
        <v>224</v>
      </c>
      <c r="BV2" s="81"/>
      <c r="BW2" s="81"/>
      <c r="BX2" s="81"/>
      <c r="BY2" s="518">
        <f>+AO2</f>
        <v>0</v>
      </c>
      <c r="BZ2" s="518"/>
      <c r="CA2" s="518"/>
      <c r="CB2" s="518"/>
      <c r="CC2" s="518"/>
      <c r="CD2" s="518"/>
      <c r="CE2" s="518"/>
      <c r="CF2" s="518"/>
      <c r="CG2" s="518"/>
      <c r="CH2" s="5"/>
      <c r="CI2" s="5"/>
      <c r="CJ2" s="71" t="s">
        <v>220</v>
      </c>
      <c r="CK2" s="71"/>
      <c r="CL2" s="71"/>
      <c r="CM2" s="71"/>
      <c r="CN2" s="518">
        <f>+BC2</f>
        <v>0</v>
      </c>
      <c r="CO2" s="518"/>
      <c r="CP2" s="518"/>
      <c r="CQ2" s="518"/>
      <c r="CR2" s="518"/>
      <c r="CS2" s="71" t="s">
        <v>225</v>
      </c>
      <c r="CT2" s="71"/>
      <c r="CU2" s="71"/>
      <c r="CV2" s="71"/>
      <c r="CW2" s="518">
        <f>+BL2</f>
        <v>0</v>
      </c>
      <c r="CX2" s="518"/>
      <c r="CY2" s="518"/>
      <c r="CZ2" s="518"/>
      <c r="DA2" s="518"/>
      <c r="DB2" s="518"/>
      <c r="DC2" s="518"/>
      <c r="DD2" s="518"/>
      <c r="DE2" s="518"/>
      <c r="DF2" s="81" t="s">
        <v>224</v>
      </c>
      <c r="DG2" s="81"/>
      <c r="DH2" s="81"/>
      <c r="DI2" s="81"/>
      <c r="DJ2" s="518">
        <f>+BY2</f>
        <v>0</v>
      </c>
      <c r="DK2" s="518"/>
      <c r="DL2" s="518"/>
      <c r="DM2" s="518"/>
      <c r="DN2" s="518"/>
      <c r="DO2" s="518"/>
      <c r="DP2" s="518"/>
      <c r="DQ2" s="518"/>
      <c r="DR2" s="518"/>
      <c r="DS2" s="7"/>
    </row>
    <row r="3" spans="1:140" s="42" customFormat="1" ht="15" customHeight="1" x14ac:dyDescent="0.2">
      <c r="A3" s="41"/>
      <c r="B3" s="520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2"/>
      <c r="N3" s="508"/>
      <c r="O3" s="523" t="s">
        <v>221</v>
      </c>
      <c r="P3" s="523"/>
      <c r="Q3" s="523"/>
      <c r="R3" s="523"/>
      <c r="S3" s="425">
        <f>+SEGUIMIENTO!F17</f>
        <v>0</v>
      </c>
      <c r="T3" s="425"/>
      <c r="U3" s="425"/>
      <c r="V3" s="425"/>
      <c r="W3" s="425"/>
      <c r="X3" s="71"/>
      <c r="Y3" s="71"/>
      <c r="Z3" s="71"/>
      <c r="AA3" s="71"/>
      <c r="AB3" s="518"/>
      <c r="AC3" s="518"/>
      <c r="AD3" s="518"/>
      <c r="AE3" s="518"/>
      <c r="AF3" s="518"/>
      <c r="AG3" s="518"/>
      <c r="AH3" s="518"/>
      <c r="AI3" s="518"/>
      <c r="AJ3" s="518"/>
      <c r="AK3" s="81"/>
      <c r="AL3" s="81"/>
      <c r="AM3" s="81"/>
      <c r="AN3" s="81"/>
      <c r="AO3" s="518"/>
      <c r="AP3" s="518"/>
      <c r="AQ3" s="518"/>
      <c r="AR3" s="518"/>
      <c r="AS3" s="518"/>
      <c r="AT3" s="518"/>
      <c r="AU3" s="518"/>
      <c r="AV3" s="518"/>
      <c r="AW3" s="518"/>
      <c r="AX3" s="524"/>
      <c r="AY3" s="523" t="s">
        <v>221</v>
      </c>
      <c r="AZ3" s="523"/>
      <c r="BA3" s="523"/>
      <c r="BB3" s="523"/>
      <c r="BC3" s="425">
        <f>+S3</f>
        <v>0</v>
      </c>
      <c r="BD3" s="425"/>
      <c r="BE3" s="425"/>
      <c r="BF3" s="425"/>
      <c r="BG3" s="425"/>
      <c r="BH3" s="71"/>
      <c r="BI3" s="71"/>
      <c r="BJ3" s="71"/>
      <c r="BK3" s="71"/>
      <c r="BL3" s="518"/>
      <c r="BM3" s="518"/>
      <c r="BN3" s="518"/>
      <c r="BO3" s="518"/>
      <c r="BP3" s="518"/>
      <c r="BQ3" s="518"/>
      <c r="BR3" s="518"/>
      <c r="BS3" s="518"/>
      <c r="BT3" s="518"/>
      <c r="BU3" s="81"/>
      <c r="BV3" s="81"/>
      <c r="BW3" s="81"/>
      <c r="BX3" s="81"/>
      <c r="BY3" s="518"/>
      <c r="BZ3" s="518"/>
      <c r="CA3" s="518"/>
      <c r="CB3" s="518"/>
      <c r="CC3" s="518"/>
      <c r="CD3" s="518"/>
      <c r="CE3" s="518"/>
      <c r="CF3" s="518"/>
      <c r="CG3" s="518"/>
      <c r="CH3" s="5"/>
      <c r="CI3" s="5"/>
      <c r="CJ3" s="523" t="s">
        <v>221</v>
      </c>
      <c r="CK3" s="523"/>
      <c r="CL3" s="523"/>
      <c r="CM3" s="523"/>
      <c r="CN3" s="425">
        <f>+BC3</f>
        <v>0</v>
      </c>
      <c r="CO3" s="425"/>
      <c r="CP3" s="425"/>
      <c r="CQ3" s="425"/>
      <c r="CR3" s="425"/>
      <c r="CS3" s="71"/>
      <c r="CT3" s="71"/>
      <c r="CU3" s="71"/>
      <c r="CV3" s="71"/>
      <c r="CW3" s="518"/>
      <c r="CX3" s="518"/>
      <c r="CY3" s="518"/>
      <c r="CZ3" s="518"/>
      <c r="DA3" s="518"/>
      <c r="DB3" s="518"/>
      <c r="DC3" s="518"/>
      <c r="DD3" s="518"/>
      <c r="DE3" s="518"/>
      <c r="DF3" s="81"/>
      <c r="DG3" s="81"/>
      <c r="DH3" s="81"/>
      <c r="DI3" s="81"/>
      <c r="DJ3" s="518"/>
      <c r="DK3" s="518"/>
      <c r="DL3" s="518"/>
      <c r="DM3" s="518"/>
      <c r="DN3" s="518"/>
      <c r="DO3" s="518"/>
      <c r="DP3" s="518"/>
      <c r="DQ3" s="518"/>
      <c r="DR3" s="518"/>
      <c r="DS3" s="525"/>
    </row>
    <row r="4" spans="1:140" ht="15" customHeight="1" x14ac:dyDescent="0.25">
      <c r="A4" s="37"/>
      <c r="B4" s="526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527"/>
      <c r="N4" s="508"/>
      <c r="O4" s="71" t="s">
        <v>222</v>
      </c>
      <c r="P4" s="71"/>
      <c r="Q4" s="71"/>
      <c r="R4" s="71"/>
      <c r="S4" s="518">
        <f>+SEGUIMIENTO!D18</f>
        <v>0</v>
      </c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71" t="s">
        <v>204</v>
      </c>
      <c r="AH4" s="71"/>
      <c r="AI4" s="71"/>
      <c r="AJ4" s="71"/>
      <c r="AK4" s="518">
        <f>+SEGUIMIENTO!D19</f>
        <v>0</v>
      </c>
      <c r="AL4" s="518"/>
      <c r="AM4" s="518"/>
      <c r="AN4" s="518"/>
      <c r="AO4" s="518"/>
      <c r="AP4" s="518"/>
      <c r="AQ4" s="518"/>
      <c r="AR4" s="518"/>
      <c r="AS4" s="518"/>
      <c r="AT4" s="518"/>
      <c r="AU4" s="518"/>
      <c r="AV4" s="518"/>
      <c r="AW4" s="518"/>
      <c r="AX4" s="528"/>
      <c r="AY4" s="71" t="s">
        <v>222</v>
      </c>
      <c r="AZ4" s="71"/>
      <c r="BA4" s="71"/>
      <c r="BB4" s="71"/>
      <c r="BC4" s="518">
        <f>+S4</f>
        <v>0</v>
      </c>
      <c r="BD4" s="518"/>
      <c r="BE4" s="518"/>
      <c r="BF4" s="518"/>
      <c r="BG4" s="518"/>
      <c r="BH4" s="518"/>
      <c r="BI4" s="518"/>
      <c r="BJ4" s="518"/>
      <c r="BK4" s="518"/>
      <c r="BL4" s="518"/>
      <c r="BM4" s="518"/>
      <c r="BN4" s="518"/>
      <c r="BO4" s="518"/>
      <c r="BP4" s="518"/>
      <c r="BQ4" s="71" t="s">
        <v>204</v>
      </c>
      <c r="BR4" s="71"/>
      <c r="BS4" s="71"/>
      <c r="BT4" s="71"/>
      <c r="BU4" s="518">
        <f>+AK4</f>
        <v>0</v>
      </c>
      <c r="BV4" s="518"/>
      <c r="BW4" s="518"/>
      <c r="BX4" s="518"/>
      <c r="BY4" s="518"/>
      <c r="BZ4" s="518"/>
      <c r="CA4" s="518"/>
      <c r="CB4" s="518"/>
      <c r="CC4" s="518"/>
      <c r="CD4" s="518"/>
      <c r="CE4" s="518"/>
      <c r="CF4" s="518"/>
      <c r="CG4" s="518"/>
      <c r="CH4" s="5"/>
      <c r="CI4" s="5"/>
      <c r="CJ4" s="71" t="s">
        <v>222</v>
      </c>
      <c r="CK4" s="71"/>
      <c r="CL4" s="71"/>
      <c r="CM4" s="71"/>
      <c r="CN4" s="518">
        <f>+BC4</f>
        <v>0</v>
      </c>
      <c r="CO4" s="518"/>
      <c r="CP4" s="518"/>
      <c r="CQ4" s="518"/>
      <c r="CR4" s="518"/>
      <c r="CS4" s="518"/>
      <c r="CT4" s="518"/>
      <c r="CU4" s="518"/>
      <c r="CV4" s="518"/>
      <c r="CW4" s="518"/>
      <c r="CX4" s="518"/>
      <c r="CY4" s="518"/>
      <c r="CZ4" s="518"/>
      <c r="DA4" s="518"/>
      <c r="DB4" s="71" t="s">
        <v>204</v>
      </c>
      <c r="DC4" s="71"/>
      <c r="DD4" s="71"/>
      <c r="DE4" s="71"/>
      <c r="DF4" s="518">
        <f>+BU4</f>
        <v>0</v>
      </c>
      <c r="DG4" s="518"/>
      <c r="DH4" s="518"/>
      <c r="DI4" s="518"/>
      <c r="DJ4" s="518"/>
      <c r="DK4" s="518"/>
      <c r="DL4" s="518"/>
      <c r="DM4" s="518"/>
      <c r="DN4" s="518"/>
      <c r="DO4" s="518"/>
      <c r="DP4" s="518"/>
      <c r="DQ4" s="518"/>
      <c r="DR4" s="518"/>
      <c r="DS4" s="7"/>
    </row>
    <row r="5" spans="1:140" ht="15" customHeight="1" x14ac:dyDescent="0.25">
      <c r="A5" s="37"/>
      <c r="B5" s="526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527"/>
      <c r="N5" s="508"/>
      <c r="O5" s="71"/>
      <c r="P5" s="71"/>
      <c r="Q5" s="71"/>
      <c r="R5" s="71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71"/>
      <c r="AH5" s="71"/>
      <c r="AI5" s="71"/>
      <c r="AJ5" s="71"/>
      <c r="AK5" s="518"/>
      <c r="AL5" s="518"/>
      <c r="AM5" s="518"/>
      <c r="AN5" s="518"/>
      <c r="AO5" s="518"/>
      <c r="AP5" s="518"/>
      <c r="AQ5" s="518"/>
      <c r="AR5" s="518"/>
      <c r="AS5" s="518"/>
      <c r="AT5" s="518"/>
      <c r="AU5" s="518"/>
      <c r="AV5" s="518"/>
      <c r="AW5" s="518"/>
      <c r="AX5" s="529"/>
      <c r="AY5" s="71"/>
      <c r="AZ5" s="71"/>
      <c r="BA5" s="71"/>
      <c r="BB5" s="71"/>
      <c r="BC5" s="518"/>
      <c r="BD5" s="518"/>
      <c r="BE5" s="518"/>
      <c r="BF5" s="518"/>
      <c r="BG5" s="518"/>
      <c r="BH5" s="518"/>
      <c r="BI5" s="518"/>
      <c r="BJ5" s="518"/>
      <c r="BK5" s="518"/>
      <c r="BL5" s="518"/>
      <c r="BM5" s="518"/>
      <c r="BN5" s="518"/>
      <c r="BO5" s="518"/>
      <c r="BP5" s="518"/>
      <c r="BQ5" s="71"/>
      <c r="BR5" s="71"/>
      <c r="BS5" s="71"/>
      <c r="BT5" s="71"/>
      <c r="BU5" s="518"/>
      <c r="BV5" s="518"/>
      <c r="BW5" s="518"/>
      <c r="BX5" s="518"/>
      <c r="BY5" s="518"/>
      <c r="BZ5" s="518"/>
      <c r="CA5" s="518"/>
      <c r="CB5" s="518"/>
      <c r="CC5" s="518"/>
      <c r="CD5" s="518"/>
      <c r="CE5" s="518"/>
      <c r="CF5" s="518"/>
      <c r="CG5" s="518"/>
      <c r="CH5" s="5"/>
      <c r="CI5" s="5"/>
      <c r="CJ5" s="71"/>
      <c r="CK5" s="71"/>
      <c r="CL5" s="71"/>
      <c r="CM5" s="71"/>
      <c r="CN5" s="518"/>
      <c r="CO5" s="518"/>
      <c r="CP5" s="518"/>
      <c r="CQ5" s="518"/>
      <c r="CR5" s="518"/>
      <c r="CS5" s="518"/>
      <c r="CT5" s="518"/>
      <c r="CU5" s="518"/>
      <c r="CV5" s="518"/>
      <c r="CW5" s="518"/>
      <c r="CX5" s="518"/>
      <c r="CY5" s="518"/>
      <c r="CZ5" s="518"/>
      <c r="DA5" s="518"/>
      <c r="DB5" s="71"/>
      <c r="DC5" s="71"/>
      <c r="DD5" s="71"/>
      <c r="DE5" s="71"/>
      <c r="DF5" s="518"/>
      <c r="DG5" s="518"/>
      <c r="DH5" s="518"/>
      <c r="DI5" s="518"/>
      <c r="DJ5" s="518"/>
      <c r="DK5" s="518"/>
      <c r="DL5" s="518"/>
      <c r="DM5" s="518"/>
      <c r="DN5" s="518"/>
      <c r="DO5" s="518"/>
      <c r="DP5" s="518"/>
      <c r="DQ5" s="518"/>
      <c r="DR5" s="518"/>
      <c r="DS5" s="7"/>
    </row>
    <row r="6" spans="1:140" ht="15" customHeight="1" x14ac:dyDescent="0.3">
      <c r="A6" s="37"/>
      <c r="B6" s="416" t="s">
        <v>203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8"/>
      <c r="N6" s="508"/>
      <c r="O6" s="71" t="s">
        <v>223</v>
      </c>
      <c r="P6" s="71"/>
      <c r="Q6" s="71"/>
      <c r="R6" s="71"/>
      <c r="S6" s="518">
        <f>+SEGUIMIENTO!D20</f>
        <v>0</v>
      </c>
      <c r="T6" s="518"/>
      <c r="U6" s="518"/>
      <c r="V6" s="518"/>
      <c r="W6" s="518"/>
      <c r="X6" s="71" t="s">
        <v>205</v>
      </c>
      <c r="Y6" s="71"/>
      <c r="Z6" s="71"/>
      <c r="AA6" s="71"/>
      <c r="AB6" s="518">
        <f>+SEGUIMIENTO!F20</f>
        <v>0</v>
      </c>
      <c r="AC6" s="518"/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/>
      <c r="AP6" s="518"/>
      <c r="AQ6" s="518"/>
      <c r="AR6" s="518"/>
      <c r="AS6" s="518"/>
      <c r="AT6" s="518"/>
      <c r="AU6" s="518"/>
      <c r="AV6" s="518"/>
      <c r="AW6" s="518"/>
      <c r="AX6" s="519"/>
      <c r="AY6" s="71" t="s">
        <v>223</v>
      </c>
      <c r="AZ6" s="71"/>
      <c r="BA6" s="71"/>
      <c r="BB6" s="71"/>
      <c r="BC6" s="518">
        <f>+S6</f>
        <v>0</v>
      </c>
      <c r="BD6" s="518"/>
      <c r="BE6" s="518"/>
      <c r="BF6" s="518"/>
      <c r="BG6" s="518"/>
      <c r="BH6" s="71" t="s">
        <v>205</v>
      </c>
      <c r="BI6" s="71"/>
      <c r="BJ6" s="71"/>
      <c r="BK6" s="71"/>
      <c r="BL6" s="518">
        <f>+AB6</f>
        <v>0</v>
      </c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518"/>
      <c r="BX6" s="518"/>
      <c r="BY6" s="518"/>
      <c r="BZ6" s="518"/>
      <c r="CA6" s="518"/>
      <c r="CB6" s="518"/>
      <c r="CC6" s="518"/>
      <c r="CD6" s="518"/>
      <c r="CE6" s="518"/>
      <c r="CF6" s="518"/>
      <c r="CG6" s="518"/>
      <c r="CH6" s="5"/>
      <c r="CI6" s="5"/>
      <c r="CJ6" s="71" t="s">
        <v>223</v>
      </c>
      <c r="CK6" s="71"/>
      <c r="CL6" s="71"/>
      <c r="CM6" s="71"/>
      <c r="CN6" s="518">
        <f>+BC6</f>
        <v>0</v>
      </c>
      <c r="CO6" s="518"/>
      <c r="CP6" s="518"/>
      <c r="CQ6" s="518"/>
      <c r="CR6" s="518"/>
      <c r="CS6" s="71" t="s">
        <v>205</v>
      </c>
      <c r="CT6" s="71"/>
      <c r="CU6" s="71"/>
      <c r="CV6" s="71"/>
      <c r="CW6" s="518">
        <f>+BL6</f>
        <v>0</v>
      </c>
      <c r="CX6" s="518"/>
      <c r="CY6" s="518"/>
      <c r="CZ6" s="518"/>
      <c r="DA6" s="518"/>
      <c r="DB6" s="518"/>
      <c r="DC6" s="518"/>
      <c r="DD6" s="518"/>
      <c r="DE6" s="518"/>
      <c r="DF6" s="518"/>
      <c r="DG6" s="518"/>
      <c r="DH6" s="518"/>
      <c r="DI6" s="518"/>
      <c r="DJ6" s="518"/>
      <c r="DK6" s="518"/>
      <c r="DL6" s="518"/>
      <c r="DM6" s="518"/>
      <c r="DN6" s="518"/>
      <c r="DO6" s="518"/>
      <c r="DP6" s="518"/>
      <c r="DQ6" s="518"/>
      <c r="DR6" s="518"/>
      <c r="DS6" s="7"/>
    </row>
    <row r="7" spans="1:140" ht="10.199999999999999" customHeight="1" thickBot="1" x14ac:dyDescent="0.3">
      <c r="B7" s="526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527"/>
      <c r="N7" s="6"/>
      <c r="O7" s="6"/>
      <c r="P7" s="6"/>
      <c r="Q7" s="6"/>
      <c r="R7" s="6"/>
      <c r="S7" s="6"/>
      <c r="T7" s="6"/>
      <c r="U7" s="6"/>
      <c r="V7" s="6"/>
      <c r="W7" s="7"/>
      <c r="X7" s="8"/>
      <c r="Y7" s="8"/>
      <c r="Z7" s="8"/>
      <c r="AA7" s="8"/>
      <c r="AB7" s="8"/>
      <c r="AC7" s="8"/>
      <c r="AD7" s="8"/>
      <c r="AE7" s="9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5"/>
      <c r="CI7" s="5"/>
      <c r="CJ7" s="5"/>
      <c r="CK7" s="5"/>
      <c r="CL7" s="5"/>
      <c r="CM7" s="5"/>
      <c r="CN7" s="5"/>
      <c r="CO7" s="5"/>
      <c r="CP7" s="5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12"/>
      <c r="DL7" s="7"/>
      <c r="DM7" s="7"/>
      <c r="DN7" s="7"/>
      <c r="DO7" s="7"/>
      <c r="DP7" s="7"/>
      <c r="DQ7" s="7"/>
      <c r="DR7" s="7"/>
      <c r="DS7" s="7"/>
    </row>
    <row r="8" spans="1:140" s="11" customFormat="1" ht="24" customHeight="1" thickBot="1" x14ac:dyDescent="0.25">
      <c r="B8" s="530" t="str">
        <f>+SEGUIMIENTO!D14</f>
        <v>MÁS OPORTUNIDADES PARA TODOS</v>
      </c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2"/>
      <c r="N8" s="10"/>
      <c r="O8" s="126" t="s">
        <v>0</v>
      </c>
      <c r="P8" s="128"/>
      <c r="Q8" s="128"/>
      <c r="R8" s="128"/>
      <c r="S8" s="128"/>
      <c r="T8" s="127"/>
      <c r="U8" s="10"/>
      <c r="V8" s="10"/>
      <c r="W8" s="123" t="s">
        <v>1</v>
      </c>
      <c r="X8" s="124"/>
      <c r="Y8" s="124"/>
      <c r="Z8" s="124"/>
      <c r="AA8" s="124"/>
      <c r="AB8" s="124"/>
      <c r="AC8" s="125"/>
      <c r="AD8" s="141"/>
      <c r="AE8" s="9"/>
      <c r="AF8" s="126" t="s">
        <v>30</v>
      </c>
      <c r="AG8" s="127"/>
      <c r="AH8" s="9"/>
      <c r="AI8" s="9"/>
      <c r="AJ8" s="123" t="s">
        <v>31</v>
      </c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5"/>
      <c r="AW8" s="9"/>
      <c r="AX8" s="9"/>
      <c r="AY8" s="106" t="s">
        <v>82</v>
      </c>
      <c r="AZ8" s="9"/>
      <c r="BA8" s="126" t="s">
        <v>32</v>
      </c>
      <c r="BB8" s="128"/>
      <c r="BC8" s="128"/>
      <c r="BD8" s="128"/>
      <c r="BE8" s="128"/>
      <c r="BF8" s="128"/>
      <c r="BG8" s="128"/>
      <c r="BH8" s="127"/>
      <c r="BI8" s="9"/>
      <c r="BJ8" s="9"/>
      <c r="BK8" s="123" t="s">
        <v>123</v>
      </c>
      <c r="BL8" s="123"/>
      <c r="BM8" s="123"/>
      <c r="BN8" s="123"/>
      <c r="BO8" s="123"/>
      <c r="BP8" s="123"/>
      <c r="BQ8" s="123"/>
      <c r="BR8" s="466"/>
      <c r="BS8" s="9"/>
      <c r="BT8" s="9"/>
      <c r="BU8" s="123" t="s">
        <v>156</v>
      </c>
      <c r="BV8" s="127"/>
      <c r="BW8" s="9"/>
      <c r="BX8" s="9"/>
      <c r="BY8" s="126" t="s">
        <v>89</v>
      </c>
      <c r="BZ8" s="128"/>
      <c r="CA8" s="128"/>
      <c r="CB8" s="128"/>
      <c r="CC8" s="128"/>
      <c r="CD8" s="128"/>
      <c r="CE8" s="128"/>
      <c r="CF8" s="128"/>
      <c r="CG8" s="127"/>
      <c r="CH8" s="5"/>
      <c r="CI8" s="5"/>
      <c r="CJ8" s="126" t="s">
        <v>81</v>
      </c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7"/>
      <c r="DA8" s="9"/>
      <c r="DB8" s="5"/>
      <c r="DC8" s="5"/>
      <c r="DD8" s="5"/>
      <c r="DE8" s="5"/>
      <c r="DF8" s="5"/>
      <c r="DG8" s="5"/>
      <c r="DH8" s="5"/>
      <c r="DI8" s="5"/>
      <c r="DJ8" s="5"/>
      <c r="DK8" s="10"/>
      <c r="DL8" s="5"/>
      <c r="DM8" s="5"/>
      <c r="DN8" s="5"/>
      <c r="DO8" s="5"/>
      <c r="DP8" s="5"/>
      <c r="DQ8" s="5"/>
      <c r="DR8" s="5"/>
      <c r="DS8" s="5"/>
    </row>
    <row r="9" spans="1:140" s="11" customFormat="1" ht="30" customHeight="1" x14ac:dyDescent="0.2">
      <c r="B9" s="526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527"/>
      <c r="N9" s="10"/>
      <c r="O9" s="176" t="s">
        <v>42</v>
      </c>
      <c r="P9" s="172" t="s">
        <v>43</v>
      </c>
      <c r="Q9" s="174" t="s">
        <v>44</v>
      </c>
      <c r="R9" s="172" t="s">
        <v>45</v>
      </c>
      <c r="S9" s="178" t="s">
        <v>46</v>
      </c>
      <c r="T9" s="180" t="s">
        <v>47</v>
      </c>
      <c r="U9" s="10"/>
      <c r="V9" s="10"/>
      <c r="W9" s="176" t="s">
        <v>28</v>
      </c>
      <c r="X9" s="172" t="s">
        <v>33</v>
      </c>
      <c r="Y9" s="174" t="s">
        <v>34</v>
      </c>
      <c r="Z9" s="172" t="s">
        <v>35</v>
      </c>
      <c r="AA9" s="178" t="s">
        <v>36</v>
      </c>
      <c r="AB9" s="172" t="s">
        <v>37</v>
      </c>
      <c r="AC9" s="280" t="s">
        <v>38</v>
      </c>
      <c r="AD9" s="141"/>
      <c r="AE9" s="9"/>
      <c r="AF9" s="176" t="s">
        <v>51</v>
      </c>
      <c r="AG9" s="374" t="s">
        <v>52</v>
      </c>
      <c r="AH9" s="9"/>
      <c r="AI9" s="9"/>
      <c r="AJ9" s="176" t="s">
        <v>39</v>
      </c>
      <c r="AK9" s="172" t="s">
        <v>59</v>
      </c>
      <c r="AL9" s="174" t="s">
        <v>58</v>
      </c>
      <c r="AM9" s="172" t="s">
        <v>60</v>
      </c>
      <c r="AN9" s="178" t="s">
        <v>61</v>
      </c>
      <c r="AO9" s="172" t="s">
        <v>63</v>
      </c>
      <c r="AP9" s="380" t="s">
        <v>70</v>
      </c>
      <c r="AQ9" s="381" t="s">
        <v>64</v>
      </c>
      <c r="AR9" s="382" t="s">
        <v>66</v>
      </c>
      <c r="AS9" s="381" t="s">
        <v>65</v>
      </c>
      <c r="AT9" s="383" t="s">
        <v>67</v>
      </c>
      <c r="AU9" s="381" t="s">
        <v>68</v>
      </c>
      <c r="AV9" s="384" t="s">
        <v>227</v>
      </c>
      <c r="AW9" s="9"/>
      <c r="AX9" s="9"/>
      <c r="AY9" s="107"/>
      <c r="AZ9" s="9"/>
      <c r="BA9" s="176" t="s">
        <v>84</v>
      </c>
      <c r="BB9" s="172" t="s">
        <v>85</v>
      </c>
      <c r="BC9" s="174" t="s">
        <v>86</v>
      </c>
      <c r="BD9" s="172" t="s">
        <v>87</v>
      </c>
      <c r="BE9" s="178" t="s">
        <v>88</v>
      </c>
      <c r="BF9" s="172" t="s">
        <v>40</v>
      </c>
      <c r="BG9" s="380" t="s">
        <v>41</v>
      </c>
      <c r="BH9" s="470" t="s">
        <v>53</v>
      </c>
      <c r="BI9" s="9"/>
      <c r="BJ9" s="9"/>
      <c r="BK9" s="431" t="s">
        <v>157</v>
      </c>
      <c r="BL9" s="432" t="s">
        <v>158</v>
      </c>
      <c r="BM9" s="433" t="s">
        <v>159</v>
      </c>
      <c r="BN9" s="432" t="s">
        <v>160</v>
      </c>
      <c r="BO9" s="434" t="s">
        <v>161</v>
      </c>
      <c r="BP9" s="432" t="s">
        <v>162</v>
      </c>
      <c r="BQ9" s="435" t="s">
        <v>127</v>
      </c>
      <c r="BR9" s="467" t="s">
        <v>173</v>
      </c>
      <c r="BS9" s="9"/>
      <c r="BT9" s="9"/>
      <c r="BU9" s="431" t="s">
        <v>153</v>
      </c>
      <c r="BV9" s="463" t="s">
        <v>154</v>
      </c>
      <c r="BW9" s="9"/>
      <c r="BX9" s="9"/>
      <c r="BY9" s="431" t="s">
        <v>190</v>
      </c>
      <c r="BZ9" s="432" t="s">
        <v>191</v>
      </c>
      <c r="CA9" s="433" t="s">
        <v>192</v>
      </c>
      <c r="CB9" s="432" t="s">
        <v>193</v>
      </c>
      <c r="CC9" s="434" t="s">
        <v>194</v>
      </c>
      <c r="CD9" s="432" t="s">
        <v>195</v>
      </c>
      <c r="CE9" s="435" t="s">
        <v>196</v>
      </c>
      <c r="CF9" s="436" t="s">
        <v>197</v>
      </c>
      <c r="CG9" s="437" t="s">
        <v>198</v>
      </c>
      <c r="CH9" s="5"/>
      <c r="CI9" s="5"/>
      <c r="CJ9" s="431" t="s">
        <v>174</v>
      </c>
      <c r="CK9" s="432" t="s">
        <v>175</v>
      </c>
      <c r="CL9" s="433" t="s">
        <v>176</v>
      </c>
      <c r="CM9" s="432" t="s">
        <v>177</v>
      </c>
      <c r="CN9" s="434" t="s">
        <v>178</v>
      </c>
      <c r="CO9" s="432" t="s">
        <v>179</v>
      </c>
      <c r="CP9" s="435" t="s">
        <v>180</v>
      </c>
      <c r="CQ9" s="436" t="s">
        <v>181</v>
      </c>
      <c r="CR9" s="451" t="s">
        <v>182</v>
      </c>
      <c r="CS9" s="436" t="s">
        <v>183</v>
      </c>
      <c r="CT9" s="452" t="s">
        <v>184</v>
      </c>
      <c r="CU9" s="436" t="s">
        <v>185</v>
      </c>
      <c r="CV9" s="453" t="s">
        <v>186</v>
      </c>
      <c r="CW9" s="282" t="s">
        <v>187</v>
      </c>
      <c r="CX9" s="454" t="s">
        <v>188</v>
      </c>
      <c r="CY9" s="282" t="s">
        <v>189</v>
      </c>
      <c r="CZ9" s="455" t="s">
        <v>172</v>
      </c>
      <c r="DA9" s="9"/>
      <c r="DB9" s="5"/>
      <c r="DC9" s="5"/>
      <c r="DD9" s="5"/>
      <c r="DE9" s="5"/>
      <c r="DF9" s="5"/>
      <c r="DG9" s="5"/>
      <c r="DH9" s="5"/>
      <c r="DI9" s="5"/>
      <c r="DJ9" s="5"/>
      <c r="DK9" s="10"/>
      <c r="DL9" s="5"/>
      <c r="DM9" s="5"/>
      <c r="DN9" s="5"/>
      <c r="DO9" s="5"/>
      <c r="DP9" s="5"/>
      <c r="DQ9" s="5"/>
      <c r="DR9" s="5"/>
      <c r="DS9" s="5"/>
      <c r="EJ9" s="9"/>
    </row>
    <row r="10" spans="1:140" s="11" customFormat="1" ht="30" customHeight="1" x14ac:dyDescent="0.2">
      <c r="B10" s="419" t="s">
        <v>201</v>
      </c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1"/>
      <c r="N10" s="10"/>
      <c r="O10" s="371"/>
      <c r="P10" s="276"/>
      <c r="Q10" s="277"/>
      <c r="R10" s="276"/>
      <c r="S10" s="278"/>
      <c r="T10" s="372"/>
      <c r="U10" s="10"/>
      <c r="V10" s="10"/>
      <c r="W10" s="371"/>
      <c r="X10" s="276"/>
      <c r="Y10" s="277"/>
      <c r="Z10" s="276"/>
      <c r="AA10" s="278"/>
      <c r="AB10" s="276"/>
      <c r="AC10" s="373"/>
      <c r="AD10" s="141"/>
      <c r="AE10" s="9"/>
      <c r="AF10" s="371"/>
      <c r="AG10" s="375"/>
      <c r="AH10" s="9"/>
      <c r="AI10" s="9"/>
      <c r="AJ10" s="371"/>
      <c r="AK10" s="276"/>
      <c r="AL10" s="277"/>
      <c r="AM10" s="276"/>
      <c r="AN10" s="278"/>
      <c r="AO10" s="276"/>
      <c r="AP10" s="279"/>
      <c r="AQ10" s="377"/>
      <c r="AR10" s="378"/>
      <c r="AS10" s="377"/>
      <c r="AT10" s="379"/>
      <c r="AU10" s="377"/>
      <c r="AV10" s="385"/>
      <c r="AW10" s="9"/>
      <c r="AX10" s="9"/>
      <c r="AY10" s="107"/>
      <c r="AZ10" s="9"/>
      <c r="BA10" s="371"/>
      <c r="BB10" s="276"/>
      <c r="BC10" s="277"/>
      <c r="BD10" s="276"/>
      <c r="BE10" s="278"/>
      <c r="BF10" s="276"/>
      <c r="BG10" s="279"/>
      <c r="BH10" s="471"/>
      <c r="BI10" s="9"/>
      <c r="BJ10" s="9"/>
      <c r="BK10" s="438"/>
      <c r="BL10" s="426"/>
      <c r="BM10" s="427"/>
      <c r="BN10" s="426"/>
      <c r="BO10" s="428"/>
      <c r="BP10" s="426"/>
      <c r="BQ10" s="429"/>
      <c r="BR10" s="468"/>
      <c r="BS10" s="9"/>
      <c r="BT10" s="9"/>
      <c r="BU10" s="438"/>
      <c r="BV10" s="464"/>
      <c r="BW10" s="9"/>
      <c r="BX10" s="9"/>
      <c r="BY10" s="438"/>
      <c r="BZ10" s="426"/>
      <c r="CA10" s="427"/>
      <c r="CB10" s="426"/>
      <c r="CC10" s="428"/>
      <c r="CD10" s="426"/>
      <c r="CE10" s="429"/>
      <c r="CF10" s="410"/>
      <c r="CG10" s="439"/>
      <c r="CH10" s="5"/>
      <c r="CI10" s="9"/>
      <c r="CJ10" s="438"/>
      <c r="CK10" s="426"/>
      <c r="CL10" s="427"/>
      <c r="CM10" s="426"/>
      <c r="CN10" s="428"/>
      <c r="CO10" s="426"/>
      <c r="CP10" s="429"/>
      <c r="CQ10" s="410"/>
      <c r="CR10" s="430"/>
      <c r="CS10" s="410"/>
      <c r="CT10" s="447"/>
      <c r="CU10" s="410"/>
      <c r="CV10" s="448"/>
      <c r="CW10" s="449"/>
      <c r="CX10" s="450"/>
      <c r="CY10" s="449"/>
      <c r="CZ10" s="456"/>
      <c r="DA10" s="9"/>
      <c r="DB10" s="5"/>
      <c r="DC10" s="5"/>
      <c r="DD10" s="5"/>
      <c r="DE10" s="5"/>
      <c r="DF10" s="5"/>
      <c r="DG10" s="5"/>
      <c r="DH10" s="5"/>
      <c r="DI10" s="5"/>
      <c r="DJ10" s="5"/>
      <c r="DK10" s="10"/>
      <c r="DL10" s="5"/>
      <c r="DM10" s="5"/>
      <c r="DN10" s="5"/>
      <c r="DO10" s="5"/>
      <c r="DP10" s="5"/>
      <c r="DQ10" s="5"/>
      <c r="DR10" s="5"/>
      <c r="DS10" s="5"/>
      <c r="DU10" s="377" t="s">
        <v>1</v>
      </c>
      <c r="DV10" s="408" t="s">
        <v>30</v>
      </c>
      <c r="DW10" s="411" t="s">
        <v>62</v>
      </c>
      <c r="DX10" s="408" t="s">
        <v>124</v>
      </c>
      <c r="DY10" s="408" t="s">
        <v>81</v>
      </c>
      <c r="DZ10" s="411" t="s">
        <v>82</v>
      </c>
      <c r="EA10" s="408" t="s">
        <v>123</v>
      </c>
      <c r="EB10" s="408" t="s">
        <v>155</v>
      </c>
      <c r="EC10" s="408" t="s">
        <v>89</v>
      </c>
      <c r="EJ10" s="9"/>
    </row>
    <row r="11" spans="1:140" s="11" customFormat="1" ht="30" customHeight="1" x14ac:dyDescent="0.2">
      <c r="B11" s="394" t="s">
        <v>202</v>
      </c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6"/>
      <c r="N11" s="10"/>
      <c r="O11" s="371"/>
      <c r="P11" s="276"/>
      <c r="Q11" s="277"/>
      <c r="R11" s="276"/>
      <c r="S11" s="278"/>
      <c r="T11" s="372"/>
      <c r="U11" s="10"/>
      <c r="V11" s="10"/>
      <c r="W11" s="371"/>
      <c r="X11" s="276"/>
      <c r="Y11" s="277"/>
      <c r="Z11" s="276"/>
      <c r="AA11" s="278"/>
      <c r="AB11" s="276"/>
      <c r="AC11" s="373"/>
      <c r="AD11" s="141"/>
      <c r="AE11" s="9"/>
      <c r="AF11" s="371"/>
      <c r="AG11" s="375"/>
      <c r="AH11" s="9"/>
      <c r="AI11" s="9"/>
      <c r="AJ11" s="371"/>
      <c r="AK11" s="276"/>
      <c r="AL11" s="277"/>
      <c r="AM11" s="276"/>
      <c r="AN11" s="278"/>
      <c r="AO11" s="276"/>
      <c r="AP11" s="279"/>
      <c r="AQ11" s="377"/>
      <c r="AR11" s="378"/>
      <c r="AS11" s="377"/>
      <c r="AT11" s="379"/>
      <c r="AU11" s="377"/>
      <c r="AV11" s="385"/>
      <c r="AW11" s="9"/>
      <c r="AX11" s="9"/>
      <c r="AY11" s="107"/>
      <c r="AZ11" s="9"/>
      <c r="BA11" s="371"/>
      <c r="BB11" s="276"/>
      <c r="BC11" s="277"/>
      <c r="BD11" s="276"/>
      <c r="BE11" s="278"/>
      <c r="BF11" s="276"/>
      <c r="BG11" s="279"/>
      <c r="BH11" s="471"/>
      <c r="BI11" s="9"/>
      <c r="BJ11" s="9"/>
      <c r="BK11" s="438"/>
      <c r="BL11" s="426"/>
      <c r="BM11" s="427"/>
      <c r="BN11" s="426"/>
      <c r="BO11" s="428"/>
      <c r="BP11" s="426"/>
      <c r="BQ11" s="429"/>
      <c r="BR11" s="468"/>
      <c r="BS11" s="9"/>
      <c r="BT11" s="9"/>
      <c r="BU11" s="438"/>
      <c r="BV11" s="464"/>
      <c r="BW11" s="9"/>
      <c r="BX11" s="9"/>
      <c r="BY11" s="438"/>
      <c r="BZ11" s="426"/>
      <c r="CA11" s="427"/>
      <c r="CB11" s="426"/>
      <c r="CC11" s="428"/>
      <c r="CD11" s="426"/>
      <c r="CE11" s="429"/>
      <c r="CF11" s="410"/>
      <c r="CG11" s="439"/>
      <c r="CH11" s="5"/>
      <c r="CI11" s="9"/>
      <c r="CJ11" s="438"/>
      <c r="CK11" s="426"/>
      <c r="CL11" s="427"/>
      <c r="CM11" s="426"/>
      <c r="CN11" s="428"/>
      <c r="CO11" s="426"/>
      <c r="CP11" s="429"/>
      <c r="CQ11" s="410"/>
      <c r="CR11" s="430"/>
      <c r="CS11" s="410"/>
      <c r="CT11" s="447"/>
      <c r="CU11" s="410"/>
      <c r="CV11" s="448"/>
      <c r="CW11" s="449"/>
      <c r="CX11" s="450"/>
      <c r="CY11" s="449"/>
      <c r="CZ11" s="456"/>
      <c r="DA11" s="9"/>
      <c r="DB11" s="5"/>
      <c r="DC11" s="5"/>
      <c r="DD11" s="5"/>
      <c r="DE11" s="5"/>
      <c r="DF11" s="5"/>
      <c r="DG11" s="5"/>
      <c r="DH11" s="5"/>
      <c r="DI11" s="5"/>
      <c r="DJ11" s="5"/>
      <c r="DK11" s="10"/>
      <c r="DL11" s="5"/>
      <c r="DM11" s="5"/>
      <c r="DN11" s="5"/>
      <c r="DO11" s="5"/>
      <c r="DP11" s="5"/>
      <c r="DQ11" s="5"/>
      <c r="DR11" s="5"/>
      <c r="DS11" s="5"/>
      <c r="DU11" s="377"/>
      <c r="DV11" s="122"/>
      <c r="DW11" s="412"/>
      <c r="DX11" s="122"/>
      <c r="DY11" s="122"/>
      <c r="DZ11" s="412"/>
      <c r="EA11" s="122"/>
      <c r="EB11" s="122"/>
      <c r="EC11" s="122"/>
      <c r="EJ11" s="9"/>
    </row>
    <row r="12" spans="1:140" s="11" customFormat="1" ht="30" customHeight="1" x14ac:dyDescent="0.2">
      <c r="B12" s="414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415"/>
      <c r="N12" s="10"/>
      <c r="O12" s="371"/>
      <c r="P12" s="276"/>
      <c r="Q12" s="277"/>
      <c r="R12" s="276"/>
      <c r="S12" s="278"/>
      <c r="T12" s="372"/>
      <c r="U12" s="10"/>
      <c r="V12" s="10"/>
      <c r="W12" s="371"/>
      <c r="X12" s="276"/>
      <c r="Y12" s="277"/>
      <c r="Z12" s="276"/>
      <c r="AA12" s="278"/>
      <c r="AB12" s="276"/>
      <c r="AC12" s="373"/>
      <c r="AD12" s="141"/>
      <c r="AE12" s="9"/>
      <c r="AF12" s="371"/>
      <c r="AG12" s="375"/>
      <c r="AH12" s="9"/>
      <c r="AI12" s="9"/>
      <c r="AJ12" s="371"/>
      <c r="AK12" s="276"/>
      <c r="AL12" s="277"/>
      <c r="AM12" s="276"/>
      <c r="AN12" s="278"/>
      <c r="AO12" s="276"/>
      <c r="AP12" s="279"/>
      <c r="AQ12" s="377"/>
      <c r="AR12" s="378"/>
      <c r="AS12" s="377"/>
      <c r="AT12" s="379"/>
      <c r="AU12" s="377"/>
      <c r="AV12" s="385"/>
      <c r="AW12" s="9"/>
      <c r="AX12" s="9"/>
      <c r="AY12" s="107"/>
      <c r="AZ12" s="9"/>
      <c r="BA12" s="371"/>
      <c r="BB12" s="276"/>
      <c r="BC12" s="277"/>
      <c r="BD12" s="276"/>
      <c r="BE12" s="278"/>
      <c r="BF12" s="276"/>
      <c r="BG12" s="279"/>
      <c r="BH12" s="471"/>
      <c r="BI12" s="9"/>
      <c r="BJ12" s="9"/>
      <c r="BK12" s="438"/>
      <c r="BL12" s="426"/>
      <c r="BM12" s="427"/>
      <c r="BN12" s="426"/>
      <c r="BO12" s="428"/>
      <c r="BP12" s="426"/>
      <c r="BQ12" s="429"/>
      <c r="BR12" s="468"/>
      <c r="BS12" s="9"/>
      <c r="BT12" s="9"/>
      <c r="BU12" s="438"/>
      <c r="BV12" s="464"/>
      <c r="BW12" s="9"/>
      <c r="BX12" s="9"/>
      <c r="BY12" s="438"/>
      <c r="BZ12" s="426"/>
      <c r="CA12" s="427"/>
      <c r="CB12" s="426"/>
      <c r="CC12" s="428"/>
      <c r="CD12" s="426"/>
      <c r="CE12" s="429"/>
      <c r="CF12" s="410"/>
      <c r="CG12" s="439"/>
      <c r="CH12" s="5"/>
      <c r="CI12" s="9"/>
      <c r="CJ12" s="438"/>
      <c r="CK12" s="426"/>
      <c r="CL12" s="427"/>
      <c r="CM12" s="426"/>
      <c r="CN12" s="428"/>
      <c r="CO12" s="426"/>
      <c r="CP12" s="429"/>
      <c r="CQ12" s="410"/>
      <c r="CR12" s="430"/>
      <c r="CS12" s="410"/>
      <c r="CT12" s="447"/>
      <c r="CU12" s="410"/>
      <c r="CV12" s="448"/>
      <c r="CW12" s="449"/>
      <c r="CX12" s="450"/>
      <c r="CY12" s="449"/>
      <c r="CZ12" s="456"/>
      <c r="DA12" s="9"/>
      <c r="DB12" s="5"/>
      <c r="DC12" s="5"/>
      <c r="DD12" s="5"/>
      <c r="DE12" s="5"/>
      <c r="DF12" s="5"/>
      <c r="DG12" s="5"/>
      <c r="DH12" s="5"/>
      <c r="DI12" s="5"/>
      <c r="DJ12" s="5"/>
      <c r="DK12" s="10"/>
      <c r="DL12" s="5"/>
      <c r="DM12" s="5"/>
      <c r="DN12" s="5"/>
      <c r="DO12" s="5"/>
      <c r="DP12" s="5"/>
      <c r="DQ12" s="5"/>
      <c r="DR12" s="5"/>
      <c r="DS12" s="5"/>
      <c r="DU12" s="377"/>
      <c r="DV12" s="122"/>
      <c r="DW12" s="412"/>
      <c r="DX12" s="122"/>
      <c r="DY12" s="122"/>
      <c r="DZ12" s="412"/>
      <c r="EA12" s="122"/>
      <c r="EB12" s="122"/>
      <c r="EC12" s="122"/>
      <c r="EJ12" s="9"/>
    </row>
    <row r="13" spans="1:140" s="11" customFormat="1" ht="30" customHeight="1" x14ac:dyDescent="0.2">
      <c r="B13" s="399" t="s">
        <v>55</v>
      </c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400"/>
      <c r="N13" s="10"/>
      <c r="O13" s="371"/>
      <c r="P13" s="276"/>
      <c r="Q13" s="277"/>
      <c r="R13" s="276"/>
      <c r="S13" s="278"/>
      <c r="T13" s="372"/>
      <c r="U13" s="10"/>
      <c r="V13" s="10"/>
      <c r="W13" s="371"/>
      <c r="X13" s="276"/>
      <c r="Y13" s="277"/>
      <c r="Z13" s="276"/>
      <c r="AA13" s="278"/>
      <c r="AB13" s="276"/>
      <c r="AC13" s="373"/>
      <c r="AD13" s="141"/>
      <c r="AE13" s="9"/>
      <c r="AF13" s="371"/>
      <c r="AG13" s="375"/>
      <c r="AH13" s="9"/>
      <c r="AI13" s="9"/>
      <c r="AJ13" s="371"/>
      <c r="AK13" s="276"/>
      <c r="AL13" s="277"/>
      <c r="AM13" s="276"/>
      <c r="AN13" s="278"/>
      <c r="AO13" s="276"/>
      <c r="AP13" s="279"/>
      <c r="AQ13" s="377"/>
      <c r="AR13" s="378"/>
      <c r="AS13" s="377"/>
      <c r="AT13" s="379"/>
      <c r="AU13" s="377"/>
      <c r="AV13" s="385"/>
      <c r="AW13" s="9"/>
      <c r="AX13" s="9"/>
      <c r="AY13" s="107"/>
      <c r="AZ13" s="9"/>
      <c r="BA13" s="371"/>
      <c r="BB13" s="276"/>
      <c r="BC13" s="277"/>
      <c r="BD13" s="276"/>
      <c r="BE13" s="278"/>
      <c r="BF13" s="276"/>
      <c r="BG13" s="279"/>
      <c r="BH13" s="471"/>
      <c r="BI13" s="9"/>
      <c r="BJ13" s="9"/>
      <c r="BK13" s="438"/>
      <c r="BL13" s="426"/>
      <c r="BM13" s="427"/>
      <c r="BN13" s="426"/>
      <c r="BO13" s="428"/>
      <c r="BP13" s="426"/>
      <c r="BQ13" s="429"/>
      <c r="BR13" s="468"/>
      <c r="BS13" s="9"/>
      <c r="BT13" s="9"/>
      <c r="BU13" s="438"/>
      <c r="BV13" s="464"/>
      <c r="BW13" s="9"/>
      <c r="BX13" s="9"/>
      <c r="BY13" s="438"/>
      <c r="BZ13" s="426"/>
      <c r="CA13" s="427"/>
      <c r="CB13" s="426"/>
      <c r="CC13" s="428"/>
      <c r="CD13" s="426"/>
      <c r="CE13" s="429"/>
      <c r="CF13" s="410"/>
      <c r="CG13" s="439"/>
      <c r="CH13" s="5"/>
      <c r="CI13" s="9"/>
      <c r="CJ13" s="438"/>
      <c r="CK13" s="426"/>
      <c r="CL13" s="427"/>
      <c r="CM13" s="426"/>
      <c r="CN13" s="428"/>
      <c r="CO13" s="426"/>
      <c r="CP13" s="429"/>
      <c r="CQ13" s="410"/>
      <c r="CR13" s="430"/>
      <c r="CS13" s="410"/>
      <c r="CT13" s="447"/>
      <c r="CU13" s="410"/>
      <c r="CV13" s="448"/>
      <c r="CW13" s="449"/>
      <c r="CX13" s="450"/>
      <c r="CY13" s="449"/>
      <c r="CZ13" s="456"/>
      <c r="DA13" s="9"/>
      <c r="DB13" s="5"/>
      <c r="DC13" s="5"/>
      <c r="DD13" s="5"/>
      <c r="DE13" s="5"/>
      <c r="DF13" s="5"/>
      <c r="DG13" s="5"/>
      <c r="DH13" s="5"/>
      <c r="DI13" s="5"/>
      <c r="DJ13" s="5"/>
      <c r="DK13" s="10"/>
      <c r="DL13" s="5"/>
      <c r="DM13" s="5"/>
      <c r="DN13" s="5"/>
      <c r="DO13" s="5"/>
      <c r="DP13" s="5"/>
      <c r="DQ13" s="5"/>
      <c r="DR13" s="5"/>
      <c r="DS13" s="5"/>
      <c r="DU13" s="377"/>
      <c r="DV13" s="122"/>
      <c r="DW13" s="412"/>
      <c r="DX13" s="122"/>
      <c r="DY13" s="122"/>
      <c r="DZ13" s="412"/>
      <c r="EA13" s="122"/>
      <c r="EB13" s="122"/>
      <c r="EC13" s="122"/>
      <c r="EJ13" s="9"/>
    </row>
    <row r="14" spans="1:140" ht="30" customHeight="1" thickBot="1" x14ac:dyDescent="0.3">
      <c r="B14" s="401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3"/>
      <c r="N14" s="9"/>
      <c r="O14" s="177"/>
      <c r="P14" s="173"/>
      <c r="Q14" s="175"/>
      <c r="R14" s="173"/>
      <c r="S14" s="179"/>
      <c r="T14" s="181"/>
      <c r="U14" s="9"/>
      <c r="V14" s="9"/>
      <c r="W14" s="177"/>
      <c r="X14" s="173"/>
      <c r="Y14" s="175"/>
      <c r="Z14" s="173"/>
      <c r="AA14" s="179"/>
      <c r="AB14" s="173"/>
      <c r="AC14" s="281"/>
      <c r="AD14" s="118"/>
      <c r="AE14" s="9"/>
      <c r="AF14" s="177"/>
      <c r="AG14" s="376"/>
      <c r="AH14" s="9"/>
      <c r="AI14" s="9"/>
      <c r="AJ14" s="177"/>
      <c r="AK14" s="173"/>
      <c r="AL14" s="175"/>
      <c r="AM14" s="173"/>
      <c r="AN14" s="179"/>
      <c r="AO14" s="173"/>
      <c r="AP14" s="386"/>
      <c r="AQ14" s="387"/>
      <c r="AR14" s="388"/>
      <c r="AS14" s="387"/>
      <c r="AT14" s="389"/>
      <c r="AU14" s="387"/>
      <c r="AV14" s="390"/>
      <c r="AW14" s="33"/>
      <c r="AX14" s="33"/>
      <c r="AY14" s="108"/>
      <c r="AZ14" s="33"/>
      <c r="BA14" s="177"/>
      <c r="BB14" s="173"/>
      <c r="BC14" s="175"/>
      <c r="BD14" s="173"/>
      <c r="BE14" s="179"/>
      <c r="BF14" s="173"/>
      <c r="BG14" s="386"/>
      <c r="BH14" s="472"/>
      <c r="BI14" s="9"/>
      <c r="BJ14" s="9"/>
      <c r="BK14" s="440"/>
      <c r="BL14" s="441"/>
      <c r="BM14" s="442"/>
      <c r="BN14" s="441"/>
      <c r="BO14" s="443"/>
      <c r="BP14" s="441"/>
      <c r="BQ14" s="444"/>
      <c r="BR14" s="469"/>
      <c r="BS14" s="9"/>
      <c r="BT14" s="9"/>
      <c r="BU14" s="440"/>
      <c r="BV14" s="465"/>
      <c r="BW14" s="9"/>
      <c r="BX14" s="9"/>
      <c r="BY14" s="440"/>
      <c r="BZ14" s="441"/>
      <c r="CA14" s="442"/>
      <c r="CB14" s="441"/>
      <c r="CC14" s="443"/>
      <c r="CD14" s="441"/>
      <c r="CE14" s="444"/>
      <c r="CF14" s="445"/>
      <c r="CG14" s="446"/>
      <c r="CH14" s="7"/>
      <c r="CI14" s="9"/>
      <c r="CJ14" s="440"/>
      <c r="CK14" s="441"/>
      <c r="CL14" s="442"/>
      <c r="CM14" s="441"/>
      <c r="CN14" s="443"/>
      <c r="CO14" s="441"/>
      <c r="CP14" s="444"/>
      <c r="CQ14" s="445"/>
      <c r="CR14" s="457"/>
      <c r="CS14" s="445"/>
      <c r="CT14" s="458"/>
      <c r="CU14" s="445"/>
      <c r="CV14" s="459"/>
      <c r="CW14" s="460"/>
      <c r="CX14" s="461"/>
      <c r="CY14" s="460"/>
      <c r="CZ14" s="462"/>
      <c r="DA14" s="9"/>
      <c r="DB14" s="7"/>
      <c r="DC14" s="7"/>
      <c r="DD14" s="5"/>
      <c r="DE14" s="5"/>
      <c r="DF14" s="7"/>
      <c r="DG14" s="7"/>
      <c r="DH14" s="7"/>
      <c r="DI14" s="7"/>
      <c r="DJ14" s="7"/>
      <c r="DK14" s="12"/>
      <c r="DL14" s="7"/>
      <c r="DM14" s="7"/>
      <c r="DN14" s="7"/>
      <c r="DO14" s="7"/>
      <c r="DP14" s="7"/>
      <c r="DQ14" s="7"/>
      <c r="DR14" s="7"/>
      <c r="DS14" s="7"/>
      <c r="DU14" s="377"/>
      <c r="DV14" s="409"/>
      <c r="DW14" s="413"/>
      <c r="DX14" s="409"/>
      <c r="DY14" s="409"/>
      <c r="DZ14" s="413"/>
      <c r="EA14" s="409"/>
      <c r="EB14" s="409"/>
      <c r="EC14" s="409"/>
      <c r="EJ14" s="9"/>
    </row>
    <row r="15" spans="1:140" s="11" customFormat="1" ht="10.050000000000001" customHeight="1" thickBo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9"/>
      <c r="R15" s="9"/>
      <c r="S15" s="9"/>
      <c r="T15" s="9"/>
      <c r="U15" s="9"/>
      <c r="V15" s="9"/>
      <c r="W15" s="120"/>
      <c r="X15" s="120"/>
      <c r="Y15" s="120"/>
      <c r="Z15" s="120"/>
      <c r="AA15" s="120"/>
      <c r="AB15" s="120"/>
      <c r="AC15" s="120"/>
      <c r="AD15" s="120"/>
      <c r="AE15" s="9"/>
      <c r="AF15" s="116"/>
      <c r="AG15" s="116"/>
      <c r="AH15" s="9"/>
      <c r="AI15" s="9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33"/>
      <c r="AX15" s="33"/>
      <c r="AY15" s="33"/>
      <c r="AZ15" s="33"/>
      <c r="BA15" s="120"/>
      <c r="BB15" s="120"/>
      <c r="BC15" s="120"/>
      <c r="BD15" s="120"/>
      <c r="BE15" s="120"/>
      <c r="BF15" s="120"/>
      <c r="BG15" s="120"/>
      <c r="BH15" s="116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120"/>
      <c r="BZ15" s="120"/>
      <c r="CA15" s="120"/>
      <c r="CB15" s="120"/>
      <c r="CC15" s="120"/>
      <c r="CD15" s="120"/>
      <c r="CE15" s="120"/>
      <c r="CF15" s="120"/>
      <c r="CG15" s="120"/>
      <c r="CH15" s="284"/>
      <c r="CI15" s="9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9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U15" s="118"/>
      <c r="DV15" s="118"/>
      <c r="DW15" s="119"/>
      <c r="DX15" s="118"/>
      <c r="DZ15" s="119"/>
      <c r="EA15" s="118"/>
      <c r="EB15" s="35"/>
      <c r="EC15" s="118"/>
      <c r="EJ15" s="9"/>
    </row>
    <row r="16" spans="1:140" s="11" customFormat="1" ht="12.45" customHeight="1" x14ac:dyDescent="0.2">
      <c r="B16" s="111" t="s">
        <v>0</v>
      </c>
      <c r="C16" s="114"/>
      <c r="D16" s="294" t="s">
        <v>42</v>
      </c>
      <c r="E16" s="307"/>
      <c r="F16" s="307"/>
      <c r="G16" s="307"/>
      <c r="H16" s="307"/>
      <c r="I16" s="307"/>
      <c r="J16" s="307"/>
      <c r="K16" s="307"/>
      <c r="L16" s="307"/>
      <c r="M16" s="171">
        <f>COUNTIF(SEGUIMIENTO!G23:G122,"&lt;=5")</f>
        <v>0</v>
      </c>
      <c r="N16" s="22"/>
      <c r="O16" s="156"/>
      <c r="P16" s="156"/>
      <c r="Q16" s="156"/>
      <c r="R16" s="156"/>
      <c r="S16" s="156"/>
      <c r="T16" s="156"/>
      <c r="U16" s="22"/>
      <c r="V16" s="22"/>
      <c r="W16" s="169">
        <f>COUNTIFS(SEGUIMIENTO!$G$23:$G$122,"&lt;=5",SEGUIMIENTO!$H$23:$H$122,"NUI")</f>
        <v>0</v>
      </c>
      <c r="X16" s="170">
        <f>COUNTIFS(SEGUIMIENTO!$G$23:$G$122,"&lt;=5",SEGUIMIENTO!$H$23:$H$122,"RC")</f>
        <v>0</v>
      </c>
      <c r="Y16" s="170">
        <f>COUNTIFS(SEGUIMIENTO!$G$23:$G$122,"&lt;=5",SEGUIMIENTO!$H$23:$H$122,"TI")</f>
        <v>0</v>
      </c>
      <c r="Z16" s="170">
        <f>COUNTIFS(SEGUIMIENTO!$G$23:$G$122,"&lt;=5",SEGUIMIENTO!$H$23:$H$122,"CC")</f>
        <v>0</v>
      </c>
      <c r="AA16" s="170">
        <f>COUNTIFS(SEGUIMIENTO!$G$23:$G$122,"&lt;=5",SEGUIMIENTO!$H$23:$H$122,"CE")</f>
        <v>0</v>
      </c>
      <c r="AB16" s="170">
        <f>COUNTIFS(SEGUIMIENTO!$G$23:$G$122,"&lt;=5",SEGUIMIENTO!$H$23:$H$122,"PA")</f>
        <v>0</v>
      </c>
      <c r="AC16" s="171">
        <f>COUNTIFS(SEGUIMIENTO!$G$23:$G$122,"&lt;=5",SEGUIMIENTO!$H$23:$H$122,"SD")</f>
        <v>0</v>
      </c>
      <c r="AD16" s="22"/>
      <c r="AE16" s="22"/>
      <c r="AF16" s="169">
        <f>COUNTIFS(SEGUIMIENTO!$G$23:$G$122,"&lt;=5",SEGUIMIENTO!$J$23:$J$122,"M")</f>
        <v>0</v>
      </c>
      <c r="AG16" s="171">
        <f>COUNTIFS(SEGUIMIENTO!$G$23:$G$122,"&lt;=5",SEGUIMIENTO!$J$23:$J$122,"F")</f>
        <v>0</v>
      </c>
      <c r="AH16" s="22"/>
      <c r="AI16" s="22"/>
      <c r="AJ16" s="169">
        <f>COUNTIFS(SEGUIMIENTO!$G$23:$G$122,"&lt;=5",SEGUIMIENTO!K$23:K$122,"SI")</f>
        <v>0</v>
      </c>
      <c r="AK16" s="170">
        <f>COUNTIFS(SEGUIMIENTO!$G$23:$G$122,"&lt;=5",SEGUIMIENTO!L$23:L$122,"SI")</f>
        <v>0</v>
      </c>
      <c r="AL16" s="170">
        <f>COUNTIFS(SEGUIMIENTO!$G$23:$G$122,"&lt;=5",SEGUIMIENTO!M$23:M$122,"SI")</f>
        <v>0</v>
      </c>
      <c r="AM16" s="170">
        <f>COUNTIFS(SEGUIMIENTO!$G$23:$G$122,"&lt;=5",SEGUIMIENTO!N$23:N$122,"SI")</f>
        <v>0</v>
      </c>
      <c r="AN16" s="170">
        <f>COUNTIFS(SEGUIMIENTO!$G$23:$G$122,"&lt;=5",SEGUIMIENTO!O$23:O$122,"SI")</f>
        <v>0</v>
      </c>
      <c r="AO16" s="170">
        <f>COUNTIFS(SEGUIMIENTO!$G$23:$G$122,"&lt;=5",SEGUIMIENTO!P$23:P$122,"SI")</f>
        <v>0</v>
      </c>
      <c r="AP16" s="170">
        <f>COUNTIFS(SEGUIMIENTO!$G$23:$G$122,"&lt;=5",SEGUIMIENTO!Q$23:Q$122,"SI")</f>
        <v>0</v>
      </c>
      <c r="AQ16" s="170">
        <f>COUNTIFS(SEGUIMIENTO!$G$23:$G$122,"&lt;=5",SEGUIMIENTO!R$23:R$122,"SI")</f>
        <v>0</v>
      </c>
      <c r="AR16" s="170">
        <f>COUNTIFS(SEGUIMIENTO!$G$23:$G$122,"&lt;=5",SEGUIMIENTO!S$23:S$122,"SI")</f>
        <v>0</v>
      </c>
      <c r="AS16" s="170">
        <f>COUNTIFS(SEGUIMIENTO!$G$23:$G$122,"&lt;=5",SEGUIMIENTO!T$23:T$122,"SI")</f>
        <v>0</v>
      </c>
      <c r="AT16" s="170">
        <f>COUNTIFS(SEGUIMIENTO!$G$23:$G$122,"&lt;=5",SEGUIMIENTO!U$23:U$122,"SI")</f>
        <v>0</v>
      </c>
      <c r="AU16" s="170">
        <f>COUNTIFS(SEGUIMIENTO!$G$23:$G$122,"&lt;=5",SEGUIMIENTO!V$23:V$122,"SI")</f>
        <v>0</v>
      </c>
      <c r="AV16" s="171">
        <f>COUNTIFS(SEGUIMIENTO!$G$23:$G$122,"&lt;=5",SEGUIMIENTO!W$23:W$122,"SI")</f>
        <v>0</v>
      </c>
      <c r="AW16" s="22"/>
      <c r="AX16" s="22"/>
      <c r="AY16" s="192">
        <f>COUNTIFS(SEGUIMIENTO!$G$23:$G$122,"&lt;=5",SEGUIMIENTO!X$23:X$122,"SI")</f>
        <v>0</v>
      </c>
      <c r="AZ16" s="9"/>
      <c r="BA16" s="169">
        <f>COUNTIFS(SEGUIMIENTO!$G$23:$G$122,"&lt;=5",SEGUIMIENTO!$Y$23:$Y$122,"I-MB")</f>
        <v>0</v>
      </c>
      <c r="BB16" s="170">
        <f>COUNTIFS(SEGUIMIENTO!$G$23:$G$122,"&lt;=5",SEGUIMIENTO!$Y$23:$Y$122,"I-U")</f>
        <v>0</v>
      </c>
      <c r="BC16" s="170">
        <f>COUNTIFS(SEGUIMIENTO!$G$23:$G$122,"&lt;=5",SEGUIMIENTO!$Y$23:$Y$122,"I-I")</f>
        <v>0</v>
      </c>
      <c r="BD16" s="170">
        <f>COUNTIFS(SEGUIMIENTO!$G$23:$G$122,"&lt;=5",SEGUIMIENTO!$Y$23:$Y$122,"I-K")</f>
        <v>0</v>
      </c>
      <c r="BE16" s="170">
        <f>COUNTIFS(SEGUIMIENTO!$G$23:$G$122,"&lt;=5",SEGUIMIENTO!$Y$23:$Y$122,"I-FD")</f>
        <v>0</v>
      </c>
      <c r="BF16" s="170">
        <f>COUNTIFS(SEGUIMIENTO!$G$23:$G$122,"&lt;=5",SEGUIMIENTO!$Y$23:$Y$122,"NARP")</f>
        <v>0</v>
      </c>
      <c r="BG16" s="170">
        <f>COUNTIFS(SEGUIMIENTO!$G$23:$G$122,"&lt;=5",SEGUIMIENTO!$Y$23:$Y$122,"R")</f>
        <v>0</v>
      </c>
      <c r="BH16" s="171">
        <f>COUNTIFS(SEGUIMIENTO!$G$23:$G$122,"&lt;=5",SEGUIMIENTO!$Y$23:$Y$122,"N/A")</f>
        <v>0</v>
      </c>
      <c r="BI16" s="22"/>
      <c r="BJ16" s="22"/>
      <c r="BK16" s="169">
        <f>COUNTIFS(SEGUIMIENTO!$G$23:$G$122,"&lt;=5",SEGUIMIENTO!$AA$23:$AA$122,"JAC")</f>
        <v>0</v>
      </c>
      <c r="BL16" s="170">
        <f>COUNTIFS(SEGUIMIENTO!$G$23:$G$122,"&lt;=5",SEGUIMIENTO!$AA$23:$AA$122,"JAL")</f>
        <v>0</v>
      </c>
      <c r="BM16" s="170">
        <f>COUNTIFS(SEGUIMIENTO!$G$23:$G$122,"&lt;=5",SEGUIMIENTO!$AA$23:$AA$122,"AMB")</f>
        <v>0</v>
      </c>
      <c r="BN16" s="170">
        <f>COUNTIFS(SEGUIMIENTO!$G$23:$G$122,"&lt;=5",SEGUIMIENTO!$AA$23:$AA$122,"DDHH")</f>
        <v>0</v>
      </c>
      <c r="BO16" s="170">
        <f>COUNTIFS(SEGUIMIENTO!$G$23:$G$122,"&lt;=5",SEGUIMIENTO!$AA$23:$AA$122,"SIND")</f>
        <v>0</v>
      </c>
      <c r="BP16" s="170">
        <f>COUNTIFS(SEGUIMIENTO!$G$23:$G$122,"&lt;=5",SEGUIMIENTO!$AA$23:$AA$122,"REL")</f>
        <v>0</v>
      </c>
      <c r="BQ16" s="170">
        <f>COUNTIFS(SEGUIMIENTO!$G$23:$G$122,"&lt;=5",SEGUIMIENTO!$AA$23:$AA$122,"OTR")</f>
        <v>0</v>
      </c>
      <c r="BR16" s="171">
        <f>COUNTIFS(SEGUIMIENTO!$G$23:$G$122,"&lt;=5",SEGUIMIENTO!$AA$23:$AA$122,"N/A")</f>
        <v>0</v>
      </c>
      <c r="BS16" s="22"/>
      <c r="BT16" s="22"/>
      <c r="BU16" s="169">
        <f>COUNTIFS(SEGUIMIENTO!$G$23:$G$122,"&lt;=5",SEGUIMIENTO!$AB$23:$AB$122,"RUR")</f>
        <v>0</v>
      </c>
      <c r="BV16" s="171">
        <f>COUNTIFS(SEGUIMIENTO!$G$23:$G$122,"&lt;=5",SEGUIMIENTO!$AB$23:$AB$122,"URB")</f>
        <v>0</v>
      </c>
      <c r="BW16" s="22"/>
      <c r="BX16" s="22"/>
      <c r="BY16" s="169">
        <f>COUNTIFS(SEGUIMIENTO!$G$23:$G$122,"&lt;=5",SEGUIMIENTO!$AD$23:$AD$122,"1")</f>
        <v>0</v>
      </c>
      <c r="BZ16" s="170">
        <f>COUNTIFS(SEGUIMIENTO!$G$23:$G$122,"&lt;=5",SEGUIMIENTO!$AD$23:$AD$122,"2")</f>
        <v>0</v>
      </c>
      <c r="CA16" s="170">
        <f>COUNTIFS(SEGUIMIENTO!$G$23:$G$122,"&lt;=5",SEGUIMIENTO!$AD$23:$AD$122,"3")</f>
        <v>0</v>
      </c>
      <c r="CB16" s="170">
        <f>COUNTIFS(SEGUIMIENTO!$G$23:$G$122,"&lt;=5",SEGUIMIENTO!$AD$23:$AD$122,"4")</f>
        <v>0</v>
      </c>
      <c r="CC16" s="170">
        <f>COUNTIFS(SEGUIMIENTO!$G$23:$G$122,"&lt;=5",SEGUIMIENTO!$AD$23:$AD$122,"5")</f>
        <v>0</v>
      </c>
      <c r="CD16" s="170">
        <f>COUNTIFS(SEGUIMIENTO!$G$23:$G$122,"&lt;=5",SEGUIMIENTO!$AD$23:$AD$122,"6")</f>
        <v>0</v>
      </c>
      <c r="CE16" s="170">
        <f>COUNTIFS(SEGUIMIENTO!$G$23:$G$122,"&lt;=5",SEGUIMIENTO!$AD$23:$AD$122,"7")</f>
        <v>0</v>
      </c>
      <c r="CF16" s="170">
        <f>COUNTIFS(SEGUIMIENTO!$G$23:$G$122,"&lt;=5",SEGUIMIENTO!$AD$23:$AD$122,"8")</f>
        <v>0</v>
      </c>
      <c r="CG16" s="171">
        <f>COUNTIFS(SEGUIMIENTO!$G$23:$G$122,"&lt;=5",SEGUIMIENTO!$AD$23:$AD$122,"9")</f>
        <v>0</v>
      </c>
      <c r="CH16" s="22"/>
      <c r="CI16" s="22"/>
      <c r="CJ16" s="169">
        <f>COUNTIFS(SEGUIMIENTO!$G$23:$G$122,"&lt;=5",SEGUIMIENTO!$Z$23:$Z$122,"1")</f>
        <v>0</v>
      </c>
      <c r="CK16" s="170">
        <f>COUNTIFS(SEGUIMIENTO!$G$23:$G$122,"&lt;=5",SEGUIMIENTO!$Z$23:$Z$122,"2")</f>
        <v>0</v>
      </c>
      <c r="CL16" s="170">
        <f>COUNTIFS(SEGUIMIENTO!$G$23:$G$122,"&lt;=5",SEGUIMIENTO!$Z$23:$Z$122,"3")</f>
        <v>0</v>
      </c>
      <c r="CM16" s="170">
        <f>COUNTIFS(SEGUIMIENTO!$G$23:$G$122,"&lt;=5",SEGUIMIENTO!$Z$23:$Z$122,"4")</f>
        <v>0</v>
      </c>
      <c r="CN16" s="170">
        <f>COUNTIFS(SEGUIMIENTO!$G$23:$G$122,"&lt;=5",SEGUIMIENTO!$Z$23:$Z$122,"5")</f>
        <v>0</v>
      </c>
      <c r="CO16" s="170">
        <f>COUNTIFS(SEGUIMIENTO!$G$23:$G$122,"&lt;=5",SEGUIMIENTO!$Z$23:$Z$122,"6")</f>
        <v>0</v>
      </c>
      <c r="CP16" s="170">
        <f>COUNTIFS(SEGUIMIENTO!$G$23:$G$122,"&lt;=5",SEGUIMIENTO!$Z$23:$Z$122,"7")</f>
        <v>0</v>
      </c>
      <c r="CQ16" s="170">
        <f>COUNTIFS(SEGUIMIENTO!$G$23:$G$122,"&lt;=5",SEGUIMIENTO!$Z$23:$Z$122,"8")</f>
        <v>0</v>
      </c>
      <c r="CR16" s="170">
        <f>COUNTIFS(SEGUIMIENTO!$G$23:$G$122,"&lt;=5",SEGUIMIENTO!$Z$23:$Z$122,"9")</f>
        <v>0</v>
      </c>
      <c r="CS16" s="170">
        <f>COUNTIFS(SEGUIMIENTO!$G$23:$G$122,"&lt;=5",SEGUIMIENTO!$Z$23:$Z$122,"10")</f>
        <v>0</v>
      </c>
      <c r="CT16" s="170">
        <f>COUNTIFS(SEGUIMIENTO!$G$23:$G$122,"&lt;=5",SEGUIMIENTO!$Z$23:$Z$122,"11")</f>
        <v>0</v>
      </c>
      <c r="CU16" s="170">
        <f>COUNTIFS(SEGUIMIENTO!$G$23:$G$122,"&lt;=5",SEGUIMIENTO!$Z$23:$Z$122,"12")</f>
        <v>0</v>
      </c>
      <c r="CV16" s="170">
        <f>COUNTIFS(SEGUIMIENTO!$G$23:$G$122,"&lt;=5",SEGUIMIENTO!$Z$23:$Z$122,"13")</f>
        <v>0</v>
      </c>
      <c r="CW16" s="170">
        <f>COUNTIFS(SEGUIMIENTO!$G$23:$G$122,"&lt;=5",SEGUIMIENTO!$Z$23:$Z$122,"14")</f>
        <v>0</v>
      </c>
      <c r="CX16" s="170">
        <f>COUNTIFS(SEGUIMIENTO!$G$23:$G$122,"&lt;=5",SEGUIMIENTO!$Z$23:$Z$122,"15")</f>
        <v>0</v>
      </c>
      <c r="CY16" s="170">
        <f>COUNTIFS(SEGUIMIENTO!$G$23:$G$122,"&lt;=5",SEGUIMIENTO!$Z$23:$Z$122,"16")</f>
        <v>0</v>
      </c>
      <c r="CZ16" s="171">
        <f>COUNTIFS(SEGUIMIENTO!$G$23:$G$122,"&lt;=5",SEGUIMIENTO!$Z$23:$Z$122,"N/A")</f>
        <v>0</v>
      </c>
      <c r="DA16" s="216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U16" s="35" t="s">
        <v>28</v>
      </c>
      <c r="DV16" s="35" t="s">
        <v>9</v>
      </c>
      <c r="DW16" s="35" t="s">
        <v>69</v>
      </c>
      <c r="DX16" s="35" t="s">
        <v>72</v>
      </c>
      <c r="DY16" s="34">
        <v>1</v>
      </c>
      <c r="DZ16" s="35" t="s">
        <v>69</v>
      </c>
      <c r="EA16" s="35" t="s">
        <v>125</v>
      </c>
      <c r="EB16" s="35" t="s">
        <v>165</v>
      </c>
      <c r="EC16" s="34">
        <v>1</v>
      </c>
      <c r="EJ16" s="9"/>
    </row>
    <row r="17" spans="2:140" s="11" customFormat="1" ht="12.45" customHeight="1" x14ac:dyDescent="0.2">
      <c r="B17" s="112"/>
      <c r="C17" s="115"/>
      <c r="D17" s="296" t="s">
        <v>43</v>
      </c>
      <c r="E17" s="304"/>
      <c r="F17" s="304"/>
      <c r="G17" s="304"/>
      <c r="H17" s="304"/>
      <c r="I17" s="304"/>
      <c r="J17" s="304"/>
      <c r="K17" s="304"/>
      <c r="L17" s="304"/>
      <c r="M17" s="151">
        <f>COUNTIF(SEGUIMIENTO!G23:G122,"&lt;=12")-M16</f>
        <v>0</v>
      </c>
      <c r="N17" s="22"/>
      <c r="O17" s="156"/>
      <c r="P17" s="156"/>
      <c r="Q17" s="156"/>
      <c r="R17" s="156"/>
      <c r="S17" s="156"/>
      <c r="T17" s="156"/>
      <c r="U17" s="22"/>
      <c r="V17" s="22"/>
      <c r="W17" s="149">
        <f>COUNTIFS(SEGUIMIENTO!$G$23:$G$122,"&gt;=6",SEGUIMIENTO!$G$23:$G$122,"&lt;=12",SEGUIMIENTO!$H$23:$H$122,"NU")</f>
        <v>0</v>
      </c>
      <c r="X17" s="150">
        <f>COUNTIFS(SEGUIMIENTO!$G$23:$G$122,"&gt;=6",SEGUIMIENTO!$G$23:$G$122,"&lt;=12",SEGUIMIENTO!$H$23:$H$122,"RC")</f>
        <v>0</v>
      </c>
      <c r="Y17" s="150">
        <f>COUNTIFS(SEGUIMIENTO!$G$23:$G$122,"&gt;=6",SEGUIMIENTO!$G$23:$G$122,"&lt;=12",SEGUIMIENTO!$H$23:$H$122,"TI")</f>
        <v>0</v>
      </c>
      <c r="Z17" s="150">
        <f>COUNTIFS(SEGUIMIENTO!$G$23:$G$122,"&gt;=6",SEGUIMIENTO!$G$23:$G$122,"&lt;=12",SEGUIMIENTO!$H$23:$H$122,"CC")</f>
        <v>0</v>
      </c>
      <c r="AA17" s="150">
        <f>COUNTIFS(SEGUIMIENTO!$G$23:$G$122,"&gt;=6",SEGUIMIENTO!$G$23:$G$122,"&lt;=12",SEGUIMIENTO!$H$23:$H$122,"CE")</f>
        <v>0</v>
      </c>
      <c r="AB17" s="150">
        <f>COUNTIFS(SEGUIMIENTO!$G$23:$G$122,"&gt;=6",SEGUIMIENTO!$G$23:$G$122,"&lt;=12",SEGUIMIENTO!$H$23:$H$122,"PA")</f>
        <v>0</v>
      </c>
      <c r="AC17" s="151">
        <f>COUNTIFS(SEGUIMIENTO!$G$23:$G$122,"&gt;=6",SEGUIMIENTO!$G$23:$G$122,"&lt;=12",SEGUIMIENTO!$H$23:$H$122,"SD")</f>
        <v>0</v>
      </c>
      <c r="AD17" s="22"/>
      <c r="AE17" s="22"/>
      <c r="AF17" s="149">
        <f>COUNTIFS(SEGUIMIENTO!$G$23:$G$122,"&gt;=6",SEGUIMIENTO!$G$23:$G$122,"&lt;=12",SEGUIMIENTO!$J$23:$J$122,"M")</f>
        <v>0</v>
      </c>
      <c r="AG17" s="151">
        <f>COUNTIFS(SEGUIMIENTO!$G$23:$G$122,"&gt;=6",SEGUIMIENTO!$G$23:$G$122,"&lt;=12",SEGUIMIENTO!$J$23:$J$122,"F")</f>
        <v>0</v>
      </c>
      <c r="AH17" s="22"/>
      <c r="AI17" s="22"/>
      <c r="AJ17" s="149">
        <f>COUNTIFS(SEGUIMIENTO!$G$23:$G$122,"&gt;=6",SEGUIMIENTO!$G$23:$G$122,"&lt;=12",SEGUIMIENTO!K$23:K$122,"SI")</f>
        <v>0</v>
      </c>
      <c r="AK17" s="150">
        <f>COUNTIFS(SEGUIMIENTO!$G$23:$G$122,"&gt;=6",SEGUIMIENTO!$G$23:$G$122,"&lt;=12",SEGUIMIENTO!L$23:L$122,"SI")</f>
        <v>0</v>
      </c>
      <c r="AL17" s="150">
        <f>COUNTIFS(SEGUIMIENTO!$G$23:$G$122,"&gt;=6",SEGUIMIENTO!$G$23:$G$122,"&lt;=12",SEGUIMIENTO!M$23:M$122,"SI")</f>
        <v>0</v>
      </c>
      <c r="AM17" s="150">
        <f>COUNTIFS(SEGUIMIENTO!$G$23:$G$122,"&gt;=6",SEGUIMIENTO!$G$23:$G$122,"&lt;=12",SEGUIMIENTO!N$23:N$122,"SI")</f>
        <v>0</v>
      </c>
      <c r="AN17" s="150">
        <f>COUNTIFS(SEGUIMIENTO!$G$23:$G$122,"&gt;=6",SEGUIMIENTO!$G$23:$G$122,"&lt;=12",SEGUIMIENTO!O$23:O$122,"SI")</f>
        <v>0</v>
      </c>
      <c r="AO17" s="150">
        <f>COUNTIFS(SEGUIMIENTO!$G$23:$G$122,"&gt;=6",SEGUIMIENTO!$G$23:$G$122,"&lt;=12",SEGUIMIENTO!P$23:P$122,"SI")</f>
        <v>0</v>
      </c>
      <c r="AP17" s="150">
        <f>COUNTIFS(SEGUIMIENTO!$G$23:$G$122,"&gt;=6",SEGUIMIENTO!$G$23:$G$122,"&lt;=12",SEGUIMIENTO!Q$23:Q$122,"SI")</f>
        <v>0</v>
      </c>
      <c r="AQ17" s="150">
        <f>COUNTIFS(SEGUIMIENTO!$G$23:$G$122,"&gt;=6",SEGUIMIENTO!$G$23:$G$122,"&lt;=12",SEGUIMIENTO!R$23:R$122,"SI")</f>
        <v>0</v>
      </c>
      <c r="AR17" s="150">
        <f>COUNTIFS(SEGUIMIENTO!$G$23:$G$122,"&gt;=6",SEGUIMIENTO!$G$23:$G$122,"&lt;=12",SEGUIMIENTO!S$23:S$122,"SI")</f>
        <v>0</v>
      </c>
      <c r="AS17" s="150">
        <f>COUNTIFS(SEGUIMIENTO!$G$23:$G$122,"&gt;=6",SEGUIMIENTO!$G$23:$G$122,"&lt;=12",SEGUIMIENTO!T$23:T$122,"SI")</f>
        <v>0</v>
      </c>
      <c r="AT17" s="150">
        <f>COUNTIFS(SEGUIMIENTO!$G$23:$G$122,"&gt;=6",SEGUIMIENTO!$G$23:$G$122,"&lt;=12",SEGUIMIENTO!U$23:U$122,"SI")</f>
        <v>0</v>
      </c>
      <c r="AU17" s="150">
        <f>COUNTIFS(SEGUIMIENTO!$G$23:$G$122,"&gt;=6",SEGUIMIENTO!$G$23:$G$122,"&lt;=12",SEGUIMIENTO!V$23:V$122,"SI")</f>
        <v>0</v>
      </c>
      <c r="AV17" s="151">
        <f>COUNTIFS(SEGUIMIENTO!$G$23:$G$122,"&gt;=6",SEGUIMIENTO!$G$23:$G$122,"&lt;=12",SEGUIMIENTO!W$23:W$122,"SI")</f>
        <v>0</v>
      </c>
      <c r="AW17" s="22"/>
      <c r="AX17" s="22"/>
      <c r="AY17" s="193">
        <f>COUNTIFS(SEGUIMIENTO!$G$23:$G$122,"&gt;=6",SEGUIMIENTO!$G$23:$G$122,"&lt;=12",SEGUIMIENTO!X$23:X$122,"SI")</f>
        <v>0</v>
      </c>
      <c r="AZ17" s="9"/>
      <c r="BA17" s="149">
        <f>COUNTIFS(SEGUIMIENTO!$G$23:$G$122,"&gt;=6",SEGUIMIENTO!$G$23:$G$122,"&lt;=12",SEGUIMIENTO!$Y$23:$Y$122,"I-MB")</f>
        <v>0</v>
      </c>
      <c r="BB17" s="150">
        <f>COUNTIFS(SEGUIMIENTO!$G$23:$G$122,"&gt;=6",SEGUIMIENTO!$G$23:$G$122,"&lt;=12",SEGUIMIENTO!$Y$23:$Y$122,"I-U")</f>
        <v>0</v>
      </c>
      <c r="BC17" s="150">
        <f>COUNTIFS(SEGUIMIENTO!$G$23:$G$122,"&gt;=6",SEGUIMIENTO!$G$23:$G$122,"&lt;=12",SEGUIMIENTO!$Y$23:$Y$122,"I-I")</f>
        <v>0</v>
      </c>
      <c r="BD17" s="150">
        <f>COUNTIFS(SEGUIMIENTO!$G$23:$G$122,"&gt;=6",SEGUIMIENTO!$G$23:$G$122,"&lt;=12",SEGUIMIENTO!$Y$23:$Y$122,"I-K")</f>
        <v>0</v>
      </c>
      <c r="BE17" s="150">
        <f>COUNTIFS(SEGUIMIENTO!$G$23:$G$122,"&gt;=6",SEGUIMIENTO!$G$23:$G$122,"&lt;=12",SEGUIMIENTO!$Y$23:$Y$122,"I-FD")</f>
        <v>0</v>
      </c>
      <c r="BF17" s="150">
        <f>COUNTIFS(SEGUIMIENTO!$G$23:$G$122,"&gt;=6",SEGUIMIENTO!$G$23:$G$122,"&lt;=12",SEGUIMIENTO!$Y$23:$Y$122,"NARP")</f>
        <v>0</v>
      </c>
      <c r="BG17" s="150">
        <f>COUNTIFS(SEGUIMIENTO!$G$23:$G$122,"&gt;=6",SEGUIMIENTO!$G$23:$G$122,"&lt;=12",SEGUIMIENTO!$Y$23:$Y$122,"R")</f>
        <v>0</v>
      </c>
      <c r="BH17" s="151">
        <f>COUNTIFS(SEGUIMIENTO!$G$23:$G$122,"&gt;=6",SEGUIMIENTO!$G$23:$G$122,"&lt;=12",SEGUIMIENTO!$Y$23:$Y$122,"N/A")</f>
        <v>0</v>
      </c>
      <c r="BI17" s="22"/>
      <c r="BJ17" s="22"/>
      <c r="BK17" s="217">
        <f>COUNTIFS(SEGUIMIENTO!$G$23:$G$122,"&gt;=6",SEGUIMIENTO!$G$23:$G$122,"&lt;=12",SEGUIMIENTO!$AA$23:$AA$122,"JAC")</f>
        <v>0</v>
      </c>
      <c r="BL17" s="218">
        <f>COUNTIFS(SEGUIMIENTO!$G$23:$G$122,"&gt;=6",SEGUIMIENTO!$G$23:$G$122,"&lt;=12",SEGUIMIENTO!$AA$23:$AA$122,"JAL")</f>
        <v>0</v>
      </c>
      <c r="BM17" s="218">
        <f>COUNTIFS(SEGUIMIENTO!$G$23:$G$122,"&gt;=6",SEGUIMIENTO!$G$23:$G$122,"&lt;=12",SEGUIMIENTO!$AA$23:$AA$122,"AMB")</f>
        <v>0</v>
      </c>
      <c r="BN17" s="218">
        <f>COUNTIFS(SEGUIMIENTO!$G$23:$G$122,"&gt;=6",SEGUIMIENTO!$G$23:$G$122,"&lt;=12",SEGUIMIENTO!$AA$23:$AA$122,"DDHH")</f>
        <v>0</v>
      </c>
      <c r="BO17" s="218">
        <f>COUNTIFS(SEGUIMIENTO!$G$23:$G$122,"&gt;=6",SEGUIMIENTO!$G$23:$G$122,"&lt;=12",SEGUIMIENTO!$AA$23:$AA$122,"SIND")</f>
        <v>0</v>
      </c>
      <c r="BP17" s="218">
        <f>COUNTIFS(SEGUIMIENTO!$G$23:$G$122,"&gt;=6",SEGUIMIENTO!$G$23:$G$122,"&lt;=12",SEGUIMIENTO!$AA$23:$AA$122,"REL")</f>
        <v>0</v>
      </c>
      <c r="BQ17" s="218">
        <f>COUNTIFS(SEGUIMIENTO!$G$23:$G$122,"&gt;=6",SEGUIMIENTO!$G$23:$G$122,"&lt;=12",SEGUIMIENTO!$AA$23:$AA$122,"OTR")</f>
        <v>0</v>
      </c>
      <c r="BR17" s="219">
        <f>COUNTIFS(SEGUIMIENTO!$G$23:$G$122,"&gt;=6",SEGUIMIENTO!$G$23:$G$122,"&lt;=12",SEGUIMIENTO!$AA$23:$AA$122,"N/A")</f>
        <v>0</v>
      </c>
      <c r="BS17" s="22"/>
      <c r="BT17" s="22"/>
      <c r="BU17" s="217">
        <f>COUNTIFS(SEGUIMIENTO!$G$23:$G$122,"&gt;=6",SEGUIMIENTO!$G$23:$G$122,"&lt;=12",SEGUIMIENTO!$AB$23:$AB$122,"RUR")</f>
        <v>0</v>
      </c>
      <c r="BV17" s="219">
        <f>COUNTIFS(SEGUIMIENTO!$G$23:$G$122,"&gt;=6",SEGUIMIENTO!$G$23:$G$122,"&lt;=12",SEGUIMIENTO!$AB$23:$AB$122,"URB")</f>
        <v>0</v>
      </c>
      <c r="BW17" s="22"/>
      <c r="BX17" s="22"/>
      <c r="BY17" s="217">
        <f>COUNTIFS(SEGUIMIENTO!$G$23:$G$122,"&gt;=6",SEGUIMIENTO!$G$23:$G$122,"&lt;=12",SEGUIMIENTO!$AD$23:$AD$122,"1")</f>
        <v>0</v>
      </c>
      <c r="BZ17" s="218">
        <f>COUNTIFS(SEGUIMIENTO!$G$23:$G$122,"&gt;=6",SEGUIMIENTO!$G$23:$G$122,"&lt;=12",SEGUIMIENTO!$AD$23:$AD$122,"2")</f>
        <v>0</v>
      </c>
      <c r="CA17" s="218">
        <f>COUNTIFS(SEGUIMIENTO!$G$23:$G$122,"&gt;=6",SEGUIMIENTO!$G$23:$G$122,"&lt;=12",SEGUIMIENTO!$AD$23:$AD$122,"3")</f>
        <v>0</v>
      </c>
      <c r="CB17" s="218">
        <f>COUNTIFS(SEGUIMIENTO!$G$23:$G$122,"&gt;=6",SEGUIMIENTO!$G$23:$G$122,"&lt;=12",SEGUIMIENTO!$AD$23:$AD$122,"4")</f>
        <v>0</v>
      </c>
      <c r="CC17" s="218">
        <f>COUNTIFS(SEGUIMIENTO!$G$23:$G$122,"&gt;=6",SEGUIMIENTO!$G$23:$G$122,"&lt;=12",SEGUIMIENTO!$AD$23:$AD$122,"5")</f>
        <v>0</v>
      </c>
      <c r="CD17" s="218">
        <f>COUNTIFS(SEGUIMIENTO!$G$23:$G$122,"&gt;=6",SEGUIMIENTO!$G$23:$G$122,"&lt;=12",SEGUIMIENTO!$AD$23:$AD$122,"6")</f>
        <v>0</v>
      </c>
      <c r="CE17" s="218">
        <f>COUNTIFS(SEGUIMIENTO!$G$23:$G$122,"&gt;=6",SEGUIMIENTO!$G$23:$G$122,"&lt;=12",SEGUIMIENTO!$AD$23:$AD$122,"7")</f>
        <v>0</v>
      </c>
      <c r="CF17" s="218">
        <f>COUNTIFS(SEGUIMIENTO!$G$23:$G$122,"&gt;=6",SEGUIMIENTO!$G$23:$G$122,"&lt;=12",SEGUIMIENTO!$AD$23:$AD$122,"8")</f>
        <v>0</v>
      </c>
      <c r="CG17" s="219">
        <f>COUNTIFS(SEGUIMIENTO!$G$23:$G$122,"&gt;=6",SEGUIMIENTO!$G$23:$G$122,"&lt;=12",SEGUIMIENTO!$AD$23:$AD$122,"9")</f>
        <v>0</v>
      </c>
      <c r="CH17" s="22"/>
      <c r="CI17" s="22"/>
      <c r="CJ17" s="217">
        <f>COUNTIFS(SEGUIMIENTO!$G$23:$G$122,"&gt;=6",SEGUIMIENTO!$G$23:$G$122,"&lt;=12",SEGUIMIENTO!$Z$23:$Z$122,"1")</f>
        <v>0</v>
      </c>
      <c r="CK17" s="218">
        <f>COUNTIFS(SEGUIMIENTO!$G$23:$G$122,"&gt;=6",SEGUIMIENTO!$G$23:$G$122,"&lt;=12",SEGUIMIENTO!$Z$23:$Z$122,"2")</f>
        <v>0</v>
      </c>
      <c r="CL17" s="218">
        <f>COUNTIFS(SEGUIMIENTO!$G$23:$G$122,"&gt;=6",SEGUIMIENTO!$G$23:$G$122,"&lt;=12",SEGUIMIENTO!$Z$23:$Z$122,"3")</f>
        <v>0</v>
      </c>
      <c r="CM17" s="218">
        <f>COUNTIFS(SEGUIMIENTO!$G$23:$G$122,"&gt;=6",SEGUIMIENTO!$G$23:$G$122,"&lt;=12",SEGUIMIENTO!$Z$23:$Z$122,"4")</f>
        <v>0</v>
      </c>
      <c r="CN17" s="218">
        <f>COUNTIFS(SEGUIMIENTO!$G$23:$G$122,"&gt;=6",SEGUIMIENTO!$G$23:$G$122,"&lt;=12",SEGUIMIENTO!$Z$23:$Z$122,"5")</f>
        <v>0</v>
      </c>
      <c r="CO17" s="218">
        <f>COUNTIFS(SEGUIMIENTO!$G$23:$G$122,"&gt;=6",SEGUIMIENTO!$G$23:$G$122,"&lt;=12",SEGUIMIENTO!$Z$23:$Z$122,"6")</f>
        <v>0</v>
      </c>
      <c r="CP17" s="218">
        <f>COUNTIFS(SEGUIMIENTO!$G$23:$G$122,"&gt;=6",SEGUIMIENTO!$G$23:$G$122,"&lt;=12",SEGUIMIENTO!$Z$23:$Z$122,"7")</f>
        <v>0</v>
      </c>
      <c r="CQ17" s="218">
        <f>COUNTIFS(SEGUIMIENTO!$G$23:$G$122,"&gt;=6",SEGUIMIENTO!$G$23:$G$122,"&lt;=12",SEGUIMIENTO!$Z$23:$Z$122,"8")</f>
        <v>0</v>
      </c>
      <c r="CR17" s="218">
        <f>COUNTIFS(SEGUIMIENTO!$G$23:$G$122,"&gt;=6",SEGUIMIENTO!$G$23:$G$122,"&lt;=12",SEGUIMIENTO!$Z$23:$Z$122,"9")</f>
        <v>0</v>
      </c>
      <c r="CS17" s="218">
        <f>COUNTIFS(SEGUIMIENTO!$G$23:$G$122,"&gt;=6",SEGUIMIENTO!$G$23:$G$122,"&lt;=12",SEGUIMIENTO!$Z$23:$Z$122,"10")</f>
        <v>0</v>
      </c>
      <c r="CT17" s="218">
        <f>COUNTIFS(SEGUIMIENTO!$G$23:$G$122,"&gt;=6",SEGUIMIENTO!$G$23:$G$122,"&lt;=12",SEGUIMIENTO!$Z$23:$Z$122,"11")</f>
        <v>0</v>
      </c>
      <c r="CU17" s="218">
        <f>COUNTIFS(SEGUIMIENTO!$G$23:$G$122,"&gt;=6",SEGUIMIENTO!$G$23:$G$122,"&lt;=12",SEGUIMIENTO!$Z$23:$Z$122,"12")</f>
        <v>0</v>
      </c>
      <c r="CV17" s="218">
        <f>COUNTIFS(SEGUIMIENTO!$G$23:$G$122,"&gt;=6",SEGUIMIENTO!$G$23:$G$122,"&lt;=12",SEGUIMIENTO!$Z$23:$Z$122,"13")</f>
        <v>0</v>
      </c>
      <c r="CW17" s="218">
        <f>COUNTIFS(SEGUIMIENTO!$G$23:$G$122,"&gt;=6",SEGUIMIENTO!$G$23:$G$122,"&lt;=12",SEGUIMIENTO!$Z$23:$Z$122,"14")</f>
        <v>0</v>
      </c>
      <c r="CX17" s="218">
        <f>COUNTIFS(SEGUIMIENTO!$G$23:$G$122,"&gt;=6",SEGUIMIENTO!$G$23:$G$122,"&lt;=12",SEGUIMIENTO!$Z$23:$Z$122,"15")</f>
        <v>0</v>
      </c>
      <c r="CY17" s="218">
        <f>COUNTIFS(SEGUIMIENTO!$G$23:$G$122,"&gt;=6",SEGUIMIENTO!$G$23:$G$122,"&lt;=12",SEGUIMIENTO!$Z$23:$Z$122,"16")</f>
        <v>0</v>
      </c>
      <c r="CZ17" s="219">
        <f>COUNTIFS(SEGUIMIENTO!$G$23:$G$122,"&gt;=6",SEGUIMIENTO!$G$23:$G$122,"&lt;=12",SEGUIMIENTO!$Z$23:$Z$122,"N/A")</f>
        <v>0</v>
      </c>
      <c r="DA17" s="216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U17" s="35" t="s">
        <v>22</v>
      </c>
      <c r="DV17" s="35" t="s">
        <v>10</v>
      </c>
      <c r="DW17" s="35" t="s">
        <v>79</v>
      </c>
      <c r="DX17" s="35" t="s">
        <v>74</v>
      </c>
      <c r="DY17" s="34">
        <v>2</v>
      </c>
      <c r="DZ17" s="35" t="s">
        <v>79</v>
      </c>
      <c r="EA17" s="35" t="s">
        <v>126</v>
      </c>
      <c r="EB17" s="35" t="s">
        <v>164</v>
      </c>
      <c r="EC17" s="34">
        <v>2</v>
      </c>
      <c r="EJ17" s="216"/>
    </row>
    <row r="18" spans="2:140" s="11" customFormat="1" ht="12.45" customHeight="1" x14ac:dyDescent="0.2">
      <c r="B18" s="112"/>
      <c r="C18" s="115"/>
      <c r="D18" s="297" t="s">
        <v>44</v>
      </c>
      <c r="E18" s="305"/>
      <c r="F18" s="305"/>
      <c r="G18" s="305"/>
      <c r="H18" s="305"/>
      <c r="I18" s="305"/>
      <c r="J18" s="305"/>
      <c r="K18" s="305"/>
      <c r="L18" s="305"/>
      <c r="M18" s="165">
        <f>COUNTIF(SEGUIMIENTO!G23:G122,"&lt;=17")-M17-M16</f>
        <v>0</v>
      </c>
      <c r="N18" s="22"/>
      <c r="O18" s="156"/>
      <c r="P18" s="156"/>
      <c r="Q18" s="156"/>
      <c r="R18" s="156"/>
      <c r="S18" s="156"/>
      <c r="T18" s="156"/>
      <c r="U18" s="22"/>
      <c r="V18" s="22"/>
      <c r="W18" s="164">
        <f>COUNTIFS(SEGUIMIENTO!$G$23:$G$122,"&gt;=13",SEGUIMIENTO!$G$23:$G$122,"&lt;=17",SEGUIMIENTO!$H$23:$H$122,"NUI")</f>
        <v>0</v>
      </c>
      <c r="X18" s="166">
        <f>COUNTIFS(SEGUIMIENTO!$G$23:$G$122,"&gt;=13",SEGUIMIENTO!$G$23:$G$122,"&lt;=17",SEGUIMIENTO!$H$23:$H$122,"RC")</f>
        <v>0</v>
      </c>
      <c r="Y18" s="166">
        <f>COUNTIFS(SEGUIMIENTO!$G$23:$G$122,"&gt;=13",SEGUIMIENTO!$G$23:$G$122,"&lt;=17",SEGUIMIENTO!$H$23:$H$122,"TI")</f>
        <v>0</v>
      </c>
      <c r="Z18" s="166">
        <f>COUNTIFS(SEGUIMIENTO!$G$23:$G$122,"&gt;=13",SEGUIMIENTO!$G$23:$G$122,"&lt;=17",SEGUIMIENTO!$H$23:$H$122,"CC")</f>
        <v>0</v>
      </c>
      <c r="AA18" s="166">
        <f>COUNTIFS(SEGUIMIENTO!$G$23:$G$122,"&gt;=13",SEGUIMIENTO!$G$23:$G$122,"&lt;=17",SEGUIMIENTO!$H$23:$H$122,"CE")</f>
        <v>0</v>
      </c>
      <c r="AB18" s="166">
        <f>COUNTIFS(SEGUIMIENTO!$G$23:$G$122,"&gt;=13",SEGUIMIENTO!$G$23:$G$122,"&lt;=17",SEGUIMIENTO!$H$23:$H$122,"PA")</f>
        <v>0</v>
      </c>
      <c r="AC18" s="165">
        <f>COUNTIFS(SEGUIMIENTO!$G$23:$G$122,"&gt;=13",SEGUIMIENTO!$G$23:$G$122,"&lt;=17",SEGUIMIENTO!$H$23:$H$122,"SD")</f>
        <v>0</v>
      </c>
      <c r="AD18" s="22"/>
      <c r="AE18" s="22"/>
      <c r="AF18" s="164">
        <f>COUNTIFS(SEGUIMIENTO!$G$23:$G$122,"&gt;=13",SEGUIMIENTO!$G$23:$G$122,"&lt;=17",SEGUIMIENTO!$J$23:$J$122,"M")</f>
        <v>0</v>
      </c>
      <c r="AG18" s="165">
        <f>COUNTIFS(SEGUIMIENTO!$G$23:$G$122,"&gt;=13",SEGUIMIENTO!$G$23:$G$122,"&lt;=17",SEGUIMIENTO!$J$23:$J$122,"F")</f>
        <v>0</v>
      </c>
      <c r="AH18" s="22"/>
      <c r="AI18" s="22"/>
      <c r="AJ18" s="164">
        <f>COUNTIFS(SEGUIMIENTO!$G$23:$G$122,"&gt;=13",SEGUIMIENTO!$G$23:$G$122,"&lt;=17",SEGUIMIENTO!K$23:K$122,"SI")</f>
        <v>0</v>
      </c>
      <c r="AK18" s="166">
        <f>COUNTIFS(SEGUIMIENTO!$G$23:$G$122,"&gt;=13",SEGUIMIENTO!$G$23:$G$122,"&lt;=17",SEGUIMIENTO!L$23:L$122,"SI")</f>
        <v>0</v>
      </c>
      <c r="AL18" s="166">
        <f>COUNTIFS(SEGUIMIENTO!$G$23:$G$122,"&gt;=13",SEGUIMIENTO!$G$23:$G$122,"&lt;=17",SEGUIMIENTO!M$23:M$122,"SI")</f>
        <v>0</v>
      </c>
      <c r="AM18" s="166">
        <f>COUNTIFS(SEGUIMIENTO!$G$23:$G$122,"&gt;=13",SEGUIMIENTO!$G$23:$G$122,"&lt;=17",SEGUIMIENTO!N$23:N$122,"SI")</f>
        <v>0</v>
      </c>
      <c r="AN18" s="166">
        <f>COUNTIFS(SEGUIMIENTO!$G$23:$G$122,"&gt;=13",SEGUIMIENTO!$G$23:$G$122,"&lt;=17",SEGUIMIENTO!O$23:O$122,"SI")</f>
        <v>0</v>
      </c>
      <c r="AO18" s="166">
        <f>COUNTIFS(SEGUIMIENTO!$G$23:$G$122,"&gt;=13",SEGUIMIENTO!$G$23:$G$122,"&lt;=17",SEGUIMIENTO!P$23:P$122,"SI")</f>
        <v>0</v>
      </c>
      <c r="AP18" s="166">
        <f>COUNTIFS(SEGUIMIENTO!$G$23:$G$122,"&gt;=13",SEGUIMIENTO!$G$23:$G$122,"&lt;=17",SEGUIMIENTO!Q$23:Q$122,"SI")</f>
        <v>0</v>
      </c>
      <c r="AQ18" s="166">
        <f>COUNTIFS(SEGUIMIENTO!$G$23:$G$122,"&gt;=13",SEGUIMIENTO!$G$23:$G$122,"&lt;=17",SEGUIMIENTO!R$23:R$122,"SI")</f>
        <v>0</v>
      </c>
      <c r="AR18" s="166">
        <f>COUNTIFS(SEGUIMIENTO!$G$23:$G$122,"&gt;=13",SEGUIMIENTO!$G$23:$G$122,"&lt;=17",SEGUIMIENTO!S$23:S$122,"SI")</f>
        <v>0</v>
      </c>
      <c r="AS18" s="166">
        <f>COUNTIFS(SEGUIMIENTO!$G$23:$G$122,"&gt;=13",SEGUIMIENTO!$G$23:$G$122,"&lt;=17",SEGUIMIENTO!T$23:T$122,"SI")</f>
        <v>0</v>
      </c>
      <c r="AT18" s="166">
        <f>COUNTIFS(SEGUIMIENTO!$G$23:$G$122,"&gt;=13",SEGUIMIENTO!$G$23:$G$122,"&lt;=17",SEGUIMIENTO!U$23:U$122,"SI")</f>
        <v>0</v>
      </c>
      <c r="AU18" s="166">
        <f>COUNTIFS(SEGUIMIENTO!$G$23:$G$122,"&gt;=13",SEGUIMIENTO!$G$23:$G$122,"&lt;=17",SEGUIMIENTO!V$23:V$122,"SI")</f>
        <v>0</v>
      </c>
      <c r="AV18" s="165">
        <f>COUNTIFS(SEGUIMIENTO!$G$23:$G$122,"&gt;=13",SEGUIMIENTO!$G$23:$G$122,"&lt;=17",SEGUIMIENTO!W$23:W$122,"SI")</f>
        <v>0</v>
      </c>
      <c r="AW18" s="22"/>
      <c r="AX18" s="22"/>
      <c r="AY18" s="195">
        <f>COUNTIFS(SEGUIMIENTO!$G$23:$G$122,"&gt;=13",SEGUIMIENTO!$G$23:$G$122,"&lt;=17",SEGUIMIENTO!X$23:X$122,"SI")</f>
        <v>0</v>
      </c>
      <c r="AZ18" s="9"/>
      <c r="BA18" s="164">
        <f>COUNTIFS(SEGUIMIENTO!$G$23:$G$122,"&gt;=13",SEGUIMIENTO!$G$23:$G$122,"&lt;=17",SEGUIMIENTO!$Y$23:$Y$122,"I-MB")</f>
        <v>0</v>
      </c>
      <c r="BB18" s="166">
        <f>COUNTIFS(SEGUIMIENTO!$G$23:$G$122,"&gt;=13",SEGUIMIENTO!$G$23:$G$122,"&lt;=17",SEGUIMIENTO!$Y$23:$Y$122,"I-U")</f>
        <v>0</v>
      </c>
      <c r="BC18" s="166">
        <f>COUNTIFS(SEGUIMIENTO!$G$23:$G$122,"&gt;=13",SEGUIMIENTO!$G$23:$G$122,"&lt;=17",SEGUIMIENTO!$Y$23:$Y$122,"I-I")</f>
        <v>0</v>
      </c>
      <c r="BD18" s="166">
        <f>COUNTIFS(SEGUIMIENTO!$G$23:$G$122,"&gt;=13",SEGUIMIENTO!$G$23:$G$122,"&lt;=17",SEGUIMIENTO!$Y$23:$Y$122,"I-K")</f>
        <v>0</v>
      </c>
      <c r="BE18" s="166">
        <f>COUNTIFS(SEGUIMIENTO!$G$23:$G$122,"&gt;=13",SEGUIMIENTO!$G$23:$G$122,"&lt;=17",SEGUIMIENTO!$Y$23:$Y$122,"I-FD")</f>
        <v>0</v>
      </c>
      <c r="BF18" s="166">
        <f>COUNTIFS(SEGUIMIENTO!$G$23:$G$122,"&gt;=13",SEGUIMIENTO!$G$23:$G$122,"&lt;=17",SEGUIMIENTO!$Y$23:$Y$122,"NARP")</f>
        <v>0</v>
      </c>
      <c r="BG18" s="166">
        <f>COUNTIFS(SEGUIMIENTO!$G$23:$G$122,"&gt;=13",SEGUIMIENTO!$G$23:$G$122,"&lt;=17",SEGUIMIENTO!$Y$23:$Y$122,"R")</f>
        <v>0</v>
      </c>
      <c r="BH18" s="165">
        <f>COUNTIFS(SEGUIMIENTO!$G$23:$G$122,"&gt;=13",SEGUIMIENTO!$G$23:$G$122,"&lt;=17",SEGUIMIENTO!$Y$23:$Y$122,"N/A")</f>
        <v>0</v>
      </c>
      <c r="BI18" s="22"/>
      <c r="BJ18" s="22"/>
      <c r="BK18" s="164">
        <f>COUNTIFS(SEGUIMIENTO!$G$23:$G$122,"&gt;=13",SEGUIMIENTO!$G$23:$G$122,"&lt;=17",SEGUIMIENTO!$AA$23:$AA$122,"JAC")</f>
        <v>0</v>
      </c>
      <c r="BL18" s="166">
        <f>COUNTIFS(SEGUIMIENTO!$G$23:$G$122,"&gt;=13",SEGUIMIENTO!$G$23:$G$122,"&lt;=17",SEGUIMIENTO!$AA$23:$AA$122,"JAL")</f>
        <v>0</v>
      </c>
      <c r="BM18" s="166">
        <f>COUNTIFS(SEGUIMIENTO!$G$23:$G$122,"&gt;=13",SEGUIMIENTO!$G$23:$G$122,"&lt;=17",SEGUIMIENTO!$AA$23:$AA$122,"AMB")</f>
        <v>0</v>
      </c>
      <c r="BN18" s="166">
        <f>COUNTIFS(SEGUIMIENTO!$G$23:$G$122,"&gt;=13",SEGUIMIENTO!$G$23:$G$122,"&lt;=17",SEGUIMIENTO!$AA$23:$AA$122,"DDHH")</f>
        <v>0</v>
      </c>
      <c r="BO18" s="166">
        <f>COUNTIFS(SEGUIMIENTO!$G$23:$G$122,"&gt;=13",SEGUIMIENTO!$G$23:$G$122,"&lt;=17",SEGUIMIENTO!$AA$23:$AA$122,"SIND")</f>
        <v>0</v>
      </c>
      <c r="BP18" s="166">
        <f>COUNTIFS(SEGUIMIENTO!$G$23:$G$122,"&gt;=13",SEGUIMIENTO!$G$23:$G$122,"&lt;=17",SEGUIMIENTO!$AA$23:$AA$122,"REL")</f>
        <v>0</v>
      </c>
      <c r="BQ18" s="166">
        <f>COUNTIFS(SEGUIMIENTO!$G$23:$G$122,"&gt;=13",SEGUIMIENTO!$G$23:$G$122,"&lt;=17",SEGUIMIENTO!$AA$23:$AA$122,"OTR")</f>
        <v>0</v>
      </c>
      <c r="BR18" s="165">
        <f>COUNTIFS(SEGUIMIENTO!$G$23:$G$122,"&gt;=13",SEGUIMIENTO!$G$23:$G$122,"&lt;=17",SEGUIMIENTO!$AA$23:$AA$122,"N/A")</f>
        <v>0</v>
      </c>
      <c r="BS18" s="22"/>
      <c r="BT18" s="22"/>
      <c r="BU18" s="164">
        <f>COUNTIFS(SEGUIMIENTO!$G$23:$G$122,"&gt;=13",SEGUIMIENTO!$G$23:$G$122,"&lt;=17",SEGUIMIENTO!$AB$23:$AB$122,"RUR")</f>
        <v>0</v>
      </c>
      <c r="BV18" s="165">
        <f>COUNTIFS(SEGUIMIENTO!$G$23:$G$122,"&gt;=13",SEGUIMIENTO!$G$23:$G$122,"&lt;=17",SEGUIMIENTO!$AB$23:$AB$122,"URB")</f>
        <v>0</v>
      </c>
      <c r="BW18" s="22"/>
      <c r="BX18" s="22"/>
      <c r="BY18" s="164">
        <f>COUNTIFS(SEGUIMIENTO!$G$23:$G$122,"&gt;=13",SEGUIMIENTO!$G$23:$G$122,"&lt;=17",SEGUIMIENTO!$AD$23:$AD$122,"1")</f>
        <v>0</v>
      </c>
      <c r="BZ18" s="166">
        <f>COUNTIFS(SEGUIMIENTO!$G$23:$G$122,"&gt;=13",SEGUIMIENTO!$G$23:$G$122,"&lt;=17",SEGUIMIENTO!$AD$23:$AD$122,"2")</f>
        <v>0</v>
      </c>
      <c r="CA18" s="166">
        <f>COUNTIFS(SEGUIMIENTO!$G$23:$G$122,"&gt;=13",SEGUIMIENTO!$G$23:$G$122,"&lt;=17",SEGUIMIENTO!$AD$23:$AD$122,"3")</f>
        <v>0</v>
      </c>
      <c r="CB18" s="166">
        <f>COUNTIFS(SEGUIMIENTO!$G$23:$G$122,"&gt;=13",SEGUIMIENTO!$G$23:$G$122,"&lt;=17",SEGUIMIENTO!$AD$23:$AD$122,"4")</f>
        <v>0</v>
      </c>
      <c r="CC18" s="166">
        <f>COUNTIFS(SEGUIMIENTO!$G$23:$G$122,"&gt;=13",SEGUIMIENTO!$G$23:$G$122,"&lt;=17",SEGUIMIENTO!$AD$23:$AD$122,"5")</f>
        <v>0</v>
      </c>
      <c r="CD18" s="166">
        <f>COUNTIFS(SEGUIMIENTO!$G$23:$G$122,"&gt;=13",SEGUIMIENTO!$G$23:$G$122,"&lt;=17",SEGUIMIENTO!$AD$23:$AD$122,"6")</f>
        <v>0</v>
      </c>
      <c r="CE18" s="166">
        <f>COUNTIFS(SEGUIMIENTO!$G$23:$G$122,"&gt;=13",SEGUIMIENTO!$G$23:$G$122,"&lt;=17",SEGUIMIENTO!$AD$23:$AD$122,"7")</f>
        <v>0</v>
      </c>
      <c r="CF18" s="166">
        <f>COUNTIFS(SEGUIMIENTO!$G$23:$G$122,"&gt;=13",SEGUIMIENTO!$G$23:$G$122,"&lt;=17",SEGUIMIENTO!$AD$23:$AD$122,"8")</f>
        <v>0</v>
      </c>
      <c r="CG18" s="165">
        <f>COUNTIFS(SEGUIMIENTO!$G$23:$G$122,"&gt;=13",SEGUIMIENTO!$G$23:$G$122,"&lt;=17",SEGUIMIENTO!$AD$23:$AD$122,"9")</f>
        <v>0</v>
      </c>
      <c r="CH18" s="22"/>
      <c r="CI18" s="22"/>
      <c r="CJ18" s="164">
        <f>COUNTIFS(SEGUIMIENTO!$G$23:$G$122,"&gt;=13",SEGUIMIENTO!$G$23:$G$122,"&lt;=17",SEGUIMIENTO!$Z$23:$Z$122,"1")</f>
        <v>0</v>
      </c>
      <c r="CK18" s="166">
        <f>COUNTIFS(SEGUIMIENTO!$G$23:$G$122,"&gt;=13",SEGUIMIENTO!$G$23:$G$122,"&lt;=17",SEGUIMIENTO!$Z$23:$Z$122,"2")</f>
        <v>0</v>
      </c>
      <c r="CL18" s="166">
        <f>COUNTIFS(SEGUIMIENTO!$G$23:$G$122,"&gt;=13",SEGUIMIENTO!$G$23:$G$122,"&lt;=17",SEGUIMIENTO!$Z$23:$Z$122,"3")</f>
        <v>0</v>
      </c>
      <c r="CM18" s="166">
        <f>COUNTIFS(SEGUIMIENTO!$G$23:$G$122,"&gt;=13",SEGUIMIENTO!$G$23:$G$122,"&lt;=17",SEGUIMIENTO!$Z$23:$Z$122,"4")</f>
        <v>0</v>
      </c>
      <c r="CN18" s="166">
        <f>COUNTIFS(SEGUIMIENTO!$G$23:$G$122,"&gt;=13",SEGUIMIENTO!$G$23:$G$122,"&lt;=17",SEGUIMIENTO!$Z$23:$Z$122,"5")</f>
        <v>0</v>
      </c>
      <c r="CO18" s="166">
        <f>COUNTIFS(SEGUIMIENTO!$G$23:$G$122,"&gt;=13",SEGUIMIENTO!$G$23:$G$122,"&lt;=17",SEGUIMIENTO!$Z$23:$Z$122,"6")</f>
        <v>0</v>
      </c>
      <c r="CP18" s="166">
        <f>COUNTIFS(SEGUIMIENTO!$G$23:$G$122,"&gt;=13",SEGUIMIENTO!$G$23:$G$122,"&lt;=17",SEGUIMIENTO!$Z$23:$Z$122,"7")</f>
        <v>0</v>
      </c>
      <c r="CQ18" s="166">
        <f>COUNTIFS(SEGUIMIENTO!$G$23:$G$122,"&gt;=13",SEGUIMIENTO!$G$23:$G$122,"&lt;=17",SEGUIMIENTO!$Z$23:$Z$122,"8")</f>
        <v>0</v>
      </c>
      <c r="CR18" s="166">
        <f>COUNTIFS(SEGUIMIENTO!$G$23:$G$122,"&gt;=13",SEGUIMIENTO!$G$23:$G$122,"&lt;=17",SEGUIMIENTO!$Z$23:$Z$122,"9")</f>
        <v>0</v>
      </c>
      <c r="CS18" s="166">
        <f>COUNTIFS(SEGUIMIENTO!$G$23:$G$122,"&gt;=13",SEGUIMIENTO!$G$23:$G$122,"&lt;=17",SEGUIMIENTO!$Z$23:$Z$122,"10")</f>
        <v>0</v>
      </c>
      <c r="CT18" s="166">
        <f>COUNTIFS(SEGUIMIENTO!$G$23:$G$122,"&gt;=13",SEGUIMIENTO!$G$23:$G$122,"&lt;=17",SEGUIMIENTO!$Z$23:$Z$122,"11")</f>
        <v>0</v>
      </c>
      <c r="CU18" s="166">
        <f>COUNTIFS(SEGUIMIENTO!$G$23:$G$122,"&gt;=13",SEGUIMIENTO!$G$23:$G$122,"&lt;=17",SEGUIMIENTO!$Z$23:$Z$122,"12")</f>
        <v>0</v>
      </c>
      <c r="CV18" s="166">
        <f>COUNTIFS(SEGUIMIENTO!$G$23:$G$122,"&gt;=13",SEGUIMIENTO!$G$23:$G$122,"&lt;=17",SEGUIMIENTO!$Z$23:$Z$122,"13")</f>
        <v>0</v>
      </c>
      <c r="CW18" s="166">
        <f>COUNTIFS(SEGUIMIENTO!$G$23:$G$122,"&gt;=13",SEGUIMIENTO!$G$23:$G$122,"&lt;=17",SEGUIMIENTO!$Z$23:$Z$122,"14")</f>
        <v>0</v>
      </c>
      <c r="CX18" s="166">
        <f>COUNTIFS(SEGUIMIENTO!$G$23:$G$122,"&gt;=13",SEGUIMIENTO!$G$23:$G$122,"&lt;=17",SEGUIMIENTO!$Z$23:$Z$122,"15")</f>
        <v>0</v>
      </c>
      <c r="CY18" s="166">
        <f>COUNTIFS(SEGUIMIENTO!$G$23:$G$122,"&gt;=13",SEGUIMIENTO!$G$23:$G$122,"&lt;=17",SEGUIMIENTO!$Z$23:$Z$122,"16")</f>
        <v>0</v>
      </c>
      <c r="CZ18" s="165">
        <f>COUNTIFS(SEGUIMIENTO!$G$23:$G$122,"&gt;=13",SEGUIMIENTO!$G$23:$G$122,"&lt;=17",SEGUIMIENTO!$Z$23:$Z$122,"N/A")</f>
        <v>0</v>
      </c>
      <c r="DA18" s="216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U18" s="35" t="s">
        <v>23</v>
      </c>
      <c r="DV18" s="35"/>
      <c r="DX18" s="35" t="s">
        <v>73</v>
      </c>
      <c r="DY18" s="34">
        <v>3</v>
      </c>
      <c r="DZ18" s="34"/>
      <c r="EA18" s="35" t="s">
        <v>167</v>
      </c>
      <c r="EB18" s="35"/>
      <c r="EC18" s="34">
        <v>3</v>
      </c>
      <c r="EJ18" s="216"/>
    </row>
    <row r="19" spans="2:140" s="11" customFormat="1" ht="12.45" customHeight="1" x14ac:dyDescent="0.2">
      <c r="B19" s="112"/>
      <c r="C19" s="115"/>
      <c r="D19" s="296" t="s">
        <v>45</v>
      </c>
      <c r="E19" s="304"/>
      <c r="F19" s="304"/>
      <c r="G19" s="304"/>
      <c r="H19" s="304"/>
      <c r="I19" s="304"/>
      <c r="J19" s="304"/>
      <c r="K19" s="304"/>
      <c r="L19" s="304"/>
      <c r="M19" s="151">
        <f>COUNTIF(SEGUIMIENTO!G23:G122,"&lt;=25")-M18-M17-M16</f>
        <v>0</v>
      </c>
      <c r="N19" s="22"/>
      <c r="O19" s="156"/>
      <c r="P19" s="156"/>
      <c r="Q19" s="156"/>
      <c r="R19" s="156"/>
      <c r="S19" s="156"/>
      <c r="T19" s="156"/>
      <c r="U19" s="22"/>
      <c r="V19" s="22"/>
      <c r="W19" s="149">
        <f>COUNTIFS(SEGUIMIENTO!$G$23:$G$122,"&gt;=18",SEGUIMIENTO!$G$23:$G$122,"&lt;=24",SEGUIMIENTO!$H$23:$H$122,"NUI")</f>
        <v>0</v>
      </c>
      <c r="X19" s="150">
        <f>COUNTIFS(SEGUIMIENTO!$G$23:$G$122,"&gt;=18",SEGUIMIENTO!$G$23:$G$122,"&lt;=24",SEGUIMIENTO!$H$23:$H$122,"RC")</f>
        <v>0</v>
      </c>
      <c r="Y19" s="150">
        <f>COUNTIFS(SEGUIMIENTO!$G$23:$G$122,"&gt;=18",SEGUIMIENTO!$G$23:$G$122,"&lt;=24",SEGUIMIENTO!$H$23:$H$122,"TI")</f>
        <v>0</v>
      </c>
      <c r="Z19" s="150">
        <f>COUNTIFS(SEGUIMIENTO!$G$23:$G$122,"&gt;=18",SEGUIMIENTO!$G$23:$G$122,"&lt;=24",SEGUIMIENTO!$H$23:$H$122,"CC")</f>
        <v>0</v>
      </c>
      <c r="AA19" s="150">
        <f>COUNTIFS(SEGUIMIENTO!$G$23:$G$122,"&gt;=18",SEGUIMIENTO!$G$23:$G$122,"&lt;=24",SEGUIMIENTO!$H$23:$H$122,"CE")</f>
        <v>0</v>
      </c>
      <c r="AB19" s="150">
        <f>COUNTIFS(SEGUIMIENTO!$G$23:$G$122,"&gt;=18",SEGUIMIENTO!$G$23:$G$122,"&lt;=24",SEGUIMIENTO!$H$23:$H$122,"PA")</f>
        <v>0</v>
      </c>
      <c r="AC19" s="151">
        <f>COUNTIFS(SEGUIMIENTO!$G$23:$G$122,"&gt;=18",SEGUIMIENTO!$G$23:$G$122,"&lt;=24",SEGUIMIENTO!$H$23:$H$122,"SD")</f>
        <v>0</v>
      </c>
      <c r="AD19" s="22"/>
      <c r="AE19" s="22"/>
      <c r="AF19" s="149">
        <f>COUNTIFS(SEGUIMIENTO!$G$23:$G$122,"&gt;=18",SEGUIMIENTO!$G$23:$G$122,"&lt;=24",SEGUIMIENTO!$J$23:$J$122,"M")</f>
        <v>0</v>
      </c>
      <c r="AG19" s="151">
        <f>COUNTIFS(SEGUIMIENTO!$G$23:$G$122,"&gt;=18",SEGUIMIENTO!$G$23:$G$122,"&lt;=24",SEGUIMIENTO!$J$23:$J$122,"F")</f>
        <v>0</v>
      </c>
      <c r="AH19" s="22"/>
      <c r="AI19" s="22"/>
      <c r="AJ19" s="149">
        <f>COUNTIFS(SEGUIMIENTO!$G$23:$G$122,"&gt;=18",SEGUIMIENTO!$G$23:$G$122,"&lt;=24",SEGUIMIENTO!K$23:K$122,"SI")</f>
        <v>0</v>
      </c>
      <c r="AK19" s="150">
        <f>COUNTIFS(SEGUIMIENTO!$G$23:$G$122,"&gt;=18",SEGUIMIENTO!$G$23:$G$122,"&lt;=24",SEGUIMIENTO!L$23:L$122,"SI")</f>
        <v>0</v>
      </c>
      <c r="AL19" s="150">
        <f>COUNTIFS(SEGUIMIENTO!$G$23:$G$122,"&gt;=18",SEGUIMIENTO!$G$23:$G$122,"&lt;=24",SEGUIMIENTO!M$23:M$122,"SI")</f>
        <v>0</v>
      </c>
      <c r="AM19" s="150">
        <f>COUNTIFS(SEGUIMIENTO!$G$23:$G$122,"&gt;=18",SEGUIMIENTO!$G$23:$G$122,"&lt;=24",SEGUIMIENTO!N$23:N$122,"SI")</f>
        <v>0</v>
      </c>
      <c r="AN19" s="150">
        <f>COUNTIFS(SEGUIMIENTO!$G$23:$G$122,"&gt;=18",SEGUIMIENTO!$G$23:$G$122,"&lt;=24",SEGUIMIENTO!O$23:O$122,"SI")</f>
        <v>0</v>
      </c>
      <c r="AO19" s="150">
        <f>COUNTIFS(SEGUIMIENTO!$G$23:$G$122,"&gt;=18",SEGUIMIENTO!$G$23:$G$122,"&lt;=24",SEGUIMIENTO!P$23:P$122,"SI")</f>
        <v>0</v>
      </c>
      <c r="AP19" s="150">
        <f>COUNTIFS(SEGUIMIENTO!$G$23:$G$122,"&gt;=18",SEGUIMIENTO!$G$23:$G$122,"&lt;=24",SEGUIMIENTO!Q$23:Q$122,"SI")</f>
        <v>0</v>
      </c>
      <c r="AQ19" s="150">
        <f>COUNTIFS(SEGUIMIENTO!$G$23:$G$122,"&gt;=18",SEGUIMIENTO!$G$23:$G$122,"&lt;=24",SEGUIMIENTO!R$23:R$122,"SI")</f>
        <v>0</v>
      </c>
      <c r="AR19" s="150">
        <f>COUNTIFS(SEGUIMIENTO!$G$23:$G$122,"&gt;=18",SEGUIMIENTO!$G$23:$G$122,"&lt;=24",SEGUIMIENTO!S$23:S$122,"SI")</f>
        <v>0</v>
      </c>
      <c r="AS19" s="150">
        <f>COUNTIFS(SEGUIMIENTO!$G$23:$G$122,"&gt;=18",SEGUIMIENTO!$G$23:$G$122,"&lt;=24",SEGUIMIENTO!T$23:T$122,"SI")</f>
        <v>0</v>
      </c>
      <c r="AT19" s="150">
        <f>COUNTIFS(SEGUIMIENTO!$G$23:$G$122,"&gt;=18",SEGUIMIENTO!$G$23:$G$122,"&lt;=24",SEGUIMIENTO!U$23:U$122,"SI")</f>
        <v>0</v>
      </c>
      <c r="AU19" s="150">
        <f>COUNTIFS(SEGUIMIENTO!$G$23:$G$122,"&gt;=18",SEGUIMIENTO!$G$23:$G$122,"&lt;=24",SEGUIMIENTO!V$23:V$122,"SI")</f>
        <v>0</v>
      </c>
      <c r="AV19" s="151">
        <f>COUNTIFS(SEGUIMIENTO!$G$23:$G$122,"&gt;=18",SEGUIMIENTO!$G$23:$G$122,"&lt;=24",SEGUIMIENTO!W$23:W$122,"SI")</f>
        <v>0</v>
      </c>
      <c r="AW19" s="22"/>
      <c r="AX19" s="22"/>
      <c r="AY19" s="193">
        <f>COUNTIFS(SEGUIMIENTO!$G$23:$G$122,"&gt;=18",SEGUIMIENTO!$G$23:$G$122,"&lt;=24",SEGUIMIENTO!X$23:X$122,"SI")</f>
        <v>0</v>
      </c>
      <c r="AZ19" s="9"/>
      <c r="BA19" s="149">
        <f>COUNTIFS(SEGUIMIENTO!$G$23:$G$122,"&gt;=18",SEGUIMIENTO!$G$23:$G$122,"&lt;=24",SEGUIMIENTO!$Y$23:$Y$122,"I-MB")</f>
        <v>0</v>
      </c>
      <c r="BB19" s="150">
        <f>COUNTIFS(SEGUIMIENTO!$G$23:$G$122,"&gt;=18",SEGUIMIENTO!$G$23:$G$122,"&lt;=24",SEGUIMIENTO!$Y$23:$Y$122,"I-U")</f>
        <v>0</v>
      </c>
      <c r="BC19" s="150">
        <f>COUNTIFS(SEGUIMIENTO!$G$23:$G$122,"&gt;=18",SEGUIMIENTO!$G$23:$G$122,"&lt;=24",SEGUIMIENTO!$Y$23:$Y$122,"I-I")</f>
        <v>0</v>
      </c>
      <c r="BD19" s="150">
        <f>COUNTIFS(SEGUIMIENTO!$G$23:$G$122,"&gt;=18",SEGUIMIENTO!$G$23:$G$122,"&lt;=24",SEGUIMIENTO!$Y$23:$Y$122,"I-K")</f>
        <v>0</v>
      </c>
      <c r="BE19" s="150">
        <f>COUNTIFS(SEGUIMIENTO!$G$23:$G$122,"&gt;=18",SEGUIMIENTO!$G$23:$G$122,"&lt;=24",SEGUIMIENTO!$Y$23:$Y$122,"I-FD")</f>
        <v>0</v>
      </c>
      <c r="BF19" s="150">
        <f>COUNTIFS(SEGUIMIENTO!$G$23:$G$122,"&gt;=18",SEGUIMIENTO!$G$23:$G$122,"&lt;=24",SEGUIMIENTO!$Y$23:$Y$122,"NARP")</f>
        <v>0</v>
      </c>
      <c r="BG19" s="150">
        <f>COUNTIFS(SEGUIMIENTO!$G$23:$G$122,"&gt;=18",SEGUIMIENTO!$G$23:$G$122,"&lt;=24",SEGUIMIENTO!$Y$23:$Y$122,"R")</f>
        <v>0</v>
      </c>
      <c r="BH19" s="151">
        <f>COUNTIFS(SEGUIMIENTO!$G$23:$G$122,"&gt;=18",SEGUIMIENTO!$G$23:$G$122,"&lt;=24",SEGUIMIENTO!$Y$23:$Y$122,"N/A")</f>
        <v>0</v>
      </c>
      <c r="BI19" s="22"/>
      <c r="BJ19" s="22"/>
      <c r="BK19" s="217">
        <f>COUNTIFS(SEGUIMIENTO!$G$23:$G$122,"&gt;=18",SEGUIMIENTO!$G$23:$G$122,"&lt;=24",SEGUIMIENTO!$AA$23:$AA$122,"JAC")</f>
        <v>0</v>
      </c>
      <c r="BL19" s="218">
        <f>COUNTIFS(SEGUIMIENTO!$G$23:$G$122,"&gt;=18",SEGUIMIENTO!$G$23:$G$122,"&lt;=24",SEGUIMIENTO!$AA$23:$AA$122,"JAL")</f>
        <v>0</v>
      </c>
      <c r="BM19" s="218">
        <f>COUNTIFS(SEGUIMIENTO!$G$23:$G$122,"&gt;=18",SEGUIMIENTO!$G$23:$G$122,"&lt;=24",SEGUIMIENTO!$AA$23:$AA$122,"AMB")</f>
        <v>0</v>
      </c>
      <c r="BN19" s="218">
        <f>COUNTIFS(SEGUIMIENTO!$G$23:$G$122,"&gt;=18",SEGUIMIENTO!$G$23:$G$122,"&lt;=24",SEGUIMIENTO!$AA$23:$AA$122,"DDHH")</f>
        <v>0</v>
      </c>
      <c r="BO19" s="218">
        <f>COUNTIFS(SEGUIMIENTO!$G$23:$G$122,"&gt;=18",SEGUIMIENTO!$G$23:$G$122,"&lt;=24",SEGUIMIENTO!$AA$23:$AA$122,"SIND")</f>
        <v>0</v>
      </c>
      <c r="BP19" s="218">
        <f>COUNTIFS(SEGUIMIENTO!$G$23:$G$122,"&gt;=18",SEGUIMIENTO!$G$23:$G$122,"&lt;=24",SEGUIMIENTO!$AA$23:$AA$122,"REL")</f>
        <v>0</v>
      </c>
      <c r="BQ19" s="218">
        <f>COUNTIFS(SEGUIMIENTO!$G$23:$G$122,"&gt;=18",SEGUIMIENTO!$G$23:$G$122,"&lt;=24",SEGUIMIENTO!$AA$23:$AA$122,"OTR")</f>
        <v>0</v>
      </c>
      <c r="BR19" s="219">
        <f>COUNTIFS(SEGUIMIENTO!$G$23:$G$122,"&gt;=18",SEGUIMIENTO!$G$23:$G$122,"&lt;=24",SEGUIMIENTO!$AA$23:$AA$122,"N/A")</f>
        <v>0</v>
      </c>
      <c r="BS19" s="22"/>
      <c r="BT19" s="22"/>
      <c r="BU19" s="217">
        <f>COUNTIFS(SEGUIMIENTO!$G$23:$G$122,"&gt;=18",SEGUIMIENTO!$G$23:$G$122,"&lt;=24",SEGUIMIENTO!$AB$23:$AB$122,"RUR")</f>
        <v>0</v>
      </c>
      <c r="BV19" s="219">
        <f>COUNTIFS(SEGUIMIENTO!$G$23:$G$122,"&gt;=18",SEGUIMIENTO!$G$23:$G$122,"&lt;=24",SEGUIMIENTO!$AB$23:$AB$122,"URB")</f>
        <v>0</v>
      </c>
      <c r="BW19" s="22"/>
      <c r="BX19" s="22"/>
      <c r="BY19" s="217">
        <f>COUNTIFS(SEGUIMIENTO!$G$23:$G$122,"&gt;=18",SEGUIMIENTO!$G$23:$G$122,"&lt;=24",SEGUIMIENTO!$AD$23:$AD$122,"1")</f>
        <v>0</v>
      </c>
      <c r="BZ19" s="218">
        <f>COUNTIFS(SEGUIMIENTO!$G$23:$G$122,"&gt;=18",SEGUIMIENTO!$G$23:$G$122,"&lt;=24",SEGUIMIENTO!$AD$23:$AD$122,"2")</f>
        <v>0</v>
      </c>
      <c r="CA19" s="218">
        <f>COUNTIFS(SEGUIMIENTO!$G$23:$G$122,"&gt;=18",SEGUIMIENTO!$G$23:$G$122,"&lt;=24",SEGUIMIENTO!$AD$23:$AD$122,"3")</f>
        <v>0</v>
      </c>
      <c r="CB19" s="218">
        <f>COUNTIFS(SEGUIMIENTO!$G$23:$G$122,"&gt;=18",SEGUIMIENTO!$G$23:$G$122,"&lt;=24",SEGUIMIENTO!$AD$23:$AD$122,"4")</f>
        <v>0</v>
      </c>
      <c r="CC19" s="218">
        <f>COUNTIFS(SEGUIMIENTO!$G$23:$G$122,"&gt;=18",SEGUIMIENTO!$G$23:$G$122,"&lt;=24",SEGUIMIENTO!$AD$23:$AD$122,"5")</f>
        <v>0</v>
      </c>
      <c r="CD19" s="218">
        <f>COUNTIFS(SEGUIMIENTO!$G$23:$G$122,"&gt;=18",SEGUIMIENTO!$G$23:$G$122,"&lt;=24",SEGUIMIENTO!$AD$23:$AD$122,"6")</f>
        <v>0</v>
      </c>
      <c r="CE19" s="218">
        <f>COUNTIFS(SEGUIMIENTO!$G$23:$G$122,"&gt;=18",SEGUIMIENTO!$G$23:$G$122,"&lt;=24",SEGUIMIENTO!$AD$23:$AD$122,"7")</f>
        <v>0</v>
      </c>
      <c r="CF19" s="218">
        <f>COUNTIFS(SEGUIMIENTO!$G$23:$G$122,"&gt;=18",SEGUIMIENTO!$G$23:$G$122,"&lt;=24",SEGUIMIENTO!$AD$23:$AD$122,"8")</f>
        <v>0</v>
      </c>
      <c r="CG19" s="219">
        <f>COUNTIFS(SEGUIMIENTO!$G$23:$G$122,"&gt;=18",SEGUIMIENTO!$G$23:$G$122,"&lt;=24",SEGUIMIENTO!$AD$23:$AD$122,"9")</f>
        <v>0</v>
      </c>
      <c r="CH19" s="22"/>
      <c r="CI19" s="22"/>
      <c r="CJ19" s="217">
        <f>COUNTIFS(SEGUIMIENTO!$G$23:$G$122,"&gt;=18",SEGUIMIENTO!$G$23:$G$122,"&lt;=24",SEGUIMIENTO!$Z$23:$Z$122,"1")</f>
        <v>0</v>
      </c>
      <c r="CK19" s="218">
        <f>COUNTIFS(SEGUIMIENTO!$G$23:$G$122,"&gt;=18",SEGUIMIENTO!$G$23:$G$122,"&lt;=24",SEGUIMIENTO!$Z$23:$Z$122,"2")</f>
        <v>0</v>
      </c>
      <c r="CL19" s="218">
        <f>COUNTIFS(SEGUIMIENTO!$G$23:$G$122,"&gt;=18",SEGUIMIENTO!$G$23:$G$122,"&lt;=24",SEGUIMIENTO!$Z$23:$Z$122,"3")</f>
        <v>0</v>
      </c>
      <c r="CM19" s="218">
        <f>COUNTIFS(SEGUIMIENTO!$G$23:$G$122,"&gt;=18",SEGUIMIENTO!$G$23:$G$122,"&lt;=24",SEGUIMIENTO!$Z$23:$Z$122,"4")</f>
        <v>0</v>
      </c>
      <c r="CN19" s="218">
        <f>COUNTIFS(SEGUIMIENTO!$G$23:$G$122,"&gt;=18",SEGUIMIENTO!$G$23:$G$122,"&lt;=24",SEGUIMIENTO!$Z$23:$Z$122,"5")</f>
        <v>0</v>
      </c>
      <c r="CO19" s="218">
        <f>COUNTIFS(SEGUIMIENTO!$G$23:$G$122,"&gt;=18",SEGUIMIENTO!$G$23:$G$122,"&lt;=24",SEGUIMIENTO!$Z$23:$Z$122,"6")</f>
        <v>0</v>
      </c>
      <c r="CP19" s="218">
        <f>COUNTIFS(SEGUIMIENTO!$G$23:$G$122,"&gt;=18",SEGUIMIENTO!$G$23:$G$122,"&lt;=24",SEGUIMIENTO!$Z$23:$Z$122,"7")</f>
        <v>0</v>
      </c>
      <c r="CQ19" s="218">
        <f>COUNTIFS(SEGUIMIENTO!$G$23:$G$122,"&gt;=18",SEGUIMIENTO!$G$23:$G$122,"&lt;=24",SEGUIMIENTO!$Z$23:$Z$122,"8")</f>
        <v>0</v>
      </c>
      <c r="CR19" s="218">
        <f>COUNTIFS(SEGUIMIENTO!$G$23:$G$122,"&gt;=18",SEGUIMIENTO!$G$23:$G$122,"&lt;=24",SEGUIMIENTO!$Z$23:$Z$122,"9")</f>
        <v>0</v>
      </c>
      <c r="CS19" s="218">
        <f>COUNTIFS(SEGUIMIENTO!$G$23:$G$122,"&gt;=18",SEGUIMIENTO!$G$23:$G$122,"&lt;=24",SEGUIMIENTO!$Z$23:$Z$122,"10")</f>
        <v>0</v>
      </c>
      <c r="CT19" s="218">
        <f>COUNTIFS(SEGUIMIENTO!$G$23:$G$122,"&gt;=18",SEGUIMIENTO!$G$23:$G$122,"&lt;=24",SEGUIMIENTO!$Z$23:$Z$122,"11")</f>
        <v>0</v>
      </c>
      <c r="CU19" s="218">
        <f>COUNTIFS(SEGUIMIENTO!$G$23:$G$122,"&gt;=18",SEGUIMIENTO!$G$23:$G$122,"&lt;=24",SEGUIMIENTO!$Z$23:$Z$122,"12")</f>
        <v>0</v>
      </c>
      <c r="CV19" s="218">
        <f>COUNTIFS(SEGUIMIENTO!$G$23:$G$122,"&gt;=18",SEGUIMIENTO!$G$23:$G$122,"&lt;=24",SEGUIMIENTO!$Z$23:$Z$122,"13")</f>
        <v>0</v>
      </c>
      <c r="CW19" s="218">
        <f>COUNTIFS(SEGUIMIENTO!$G$23:$G$122,"&gt;=18",SEGUIMIENTO!$G$23:$G$122,"&lt;=24",SEGUIMIENTO!$Z$23:$Z$122,"14")</f>
        <v>0</v>
      </c>
      <c r="CX19" s="218">
        <f>COUNTIFS(SEGUIMIENTO!$G$23:$G$122,"&gt;=18",SEGUIMIENTO!$G$23:$G$122,"&lt;=24",SEGUIMIENTO!$Z$23:$Z$122,"15")</f>
        <v>0</v>
      </c>
      <c r="CY19" s="218">
        <f>COUNTIFS(SEGUIMIENTO!$G$23:$G$122,"&gt;=18",SEGUIMIENTO!$G$23:$G$122,"&lt;=24",SEGUIMIENTO!$Z$23:$Z$122,"16")</f>
        <v>0</v>
      </c>
      <c r="CZ19" s="219">
        <f>COUNTIFS(SEGUIMIENTO!$G$23:$G$122,"&gt;=18",SEGUIMIENTO!$G$23:$G$122,"&lt;=24",SEGUIMIENTO!$Z$23:$Z$122,"N/A")</f>
        <v>0</v>
      </c>
      <c r="DA19" s="216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U19" s="35" t="s">
        <v>8</v>
      </c>
      <c r="DV19" s="35"/>
      <c r="DX19" s="35" t="s">
        <v>75</v>
      </c>
      <c r="DY19" s="34">
        <v>4</v>
      </c>
      <c r="DZ19" s="34"/>
      <c r="EA19" s="35" t="s">
        <v>168</v>
      </c>
      <c r="EB19" s="35"/>
      <c r="EC19" s="34">
        <v>4</v>
      </c>
      <c r="EJ19" s="216"/>
    </row>
    <row r="20" spans="2:140" s="11" customFormat="1" ht="12.45" customHeight="1" x14ac:dyDescent="0.2">
      <c r="B20" s="112"/>
      <c r="C20" s="115"/>
      <c r="D20" s="298" t="s">
        <v>46</v>
      </c>
      <c r="E20" s="306"/>
      <c r="F20" s="306"/>
      <c r="G20" s="306"/>
      <c r="H20" s="306"/>
      <c r="I20" s="306"/>
      <c r="J20" s="306"/>
      <c r="K20" s="306"/>
      <c r="L20" s="306"/>
      <c r="M20" s="162">
        <f>COUNTIF(SEGUIMIENTO!G23:G122,"&gt;=60")</f>
        <v>0</v>
      </c>
      <c r="N20" s="22"/>
      <c r="O20" s="156"/>
      <c r="P20" s="156"/>
      <c r="Q20" s="156"/>
      <c r="R20" s="156"/>
      <c r="S20" s="156"/>
      <c r="T20" s="156"/>
      <c r="U20" s="22"/>
      <c r="V20" s="22"/>
      <c r="W20" s="160">
        <f>COUNTIFS(SEGUIMIENTO!$G$23:$G$122,"&gt;=60",SEGUIMIENTO!$H$23:$H$122,"NUI")</f>
        <v>0</v>
      </c>
      <c r="X20" s="161">
        <f>COUNTIFS(SEGUIMIENTO!$G$23:$G$122,"&gt;=60",SEGUIMIENTO!$H$23:$H$122,"RC")</f>
        <v>0</v>
      </c>
      <c r="Y20" s="161">
        <f>COUNTIFS(SEGUIMIENTO!$G$23:$G$122,"&gt;=60",SEGUIMIENTO!$H$23:$H$122,"TI")</f>
        <v>0</v>
      </c>
      <c r="Z20" s="161">
        <f>COUNTIFS(SEGUIMIENTO!$G$23:$G$122,"&gt;=60",SEGUIMIENTO!$H$23:$H$122,"CC")</f>
        <v>0</v>
      </c>
      <c r="AA20" s="161">
        <f>COUNTIFS(SEGUIMIENTO!$G$23:$G$122,"&gt;=60",SEGUIMIENTO!$H$23:$H$122,"CE")</f>
        <v>0</v>
      </c>
      <c r="AB20" s="161">
        <f>COUNTIFS(SEGUIMIENTO!$G$23:$G$122,"&gt;=60",SEGUIMIENTO!$H$23:$H$122,"PA")</f>
        <v>0</v>
      </c>
      <c r="AC20" s="162">
        <f>COUNTIFS(SEGUIMIENTO!$G$23:$G$122,"&gt;=60",SEGUIMIENTO!$H$23:$H$122,"SD")</f>
        <v>0</v>
      </c>
      <c r="AD20" s="22"/>
      <c r="AE20" s="22"/>
      <c r="AF20" s="160">
        <f>COUNTIFS(SEGUIMIENTO!$G$23:$G$122,"&gt;=60",SEGUIMIENTO!$J$23:$J$122,"M")</f>
        <v>0</v>
      </c>
      <c r="AG20" s="162">
        <f>COUNTIFS(SEGUIMIENTO!$G$23:$G$122,"&gt;=60",SEGUIMIENTO!$J$23:$J$122,"F")</f>
        <v>0</v>
      </c>
      <c r="AH20" s="22"/>
      <c r="AI20" s="22"/>
      <c r="AJ20" s="160">
        <f>COUNTIFS(SEGUIMIENTO!$G$23:$G$122,"&gt;=60",SEGUIMIENTO!K$23:K$122,"SI")</f>
        <v>0</v>
      </c>
      <c r="AK20" s="161">
        <f>COUNTIFS(SEGUIMIENTO!$G$23:$G$122,"&gt;=60",SEGUIMIENTO!L$23:L$122,"SI")</f>
        <v>0</v>
      </c>
      <c r="AL20" s="161">
        <f>COUNTIFS(SEGUIMIENTO!$G$23:$G$122,"&gt;=60",SEGUIMIENTO!M$23:M$122,"SI")</f>
        <v>0</v>
      </c>
      <c r="AM20" s="161">
        <f>COUNTIFS(SEGUIMIENTO!$G$23:$G$122,"&gt;=60",SEGUIMIENTO!N$23:N$122,"SI")</f>
        <v>0</v>
      </c>
      <c r="AN20" s="161">
        <f>COUNTIFS(SEGUIMIENTO!$G$23:$G$122,"&gt;=60",SEGUIMIENTO!O$23:O$122,"SI")</f>
        <v>0</v>
      </c>
      <c r="AO20" s="161">
        <f>COUNTIFS(SEGUIMIENTO!$G$23:$G$122,"&gt;=60",SEGUIMIENTO!P$23:P$122,"SI")</f>
        <v>0</v>
      </c>
      <c r="AP20" s="161">
        <f>COUNTIFS(SEGUIMIENTO!$G$23:$G$122,"&gt;=60",SEGUIMIENTO!Q$23:Q$122,"SI")</f>
        <v>0</v>
      </c>
      <c r="AQ20" s="161">
        <f>COUNTIFS(SEGUIMIENTO!$G$23:$G$122,"&gt;=60",SEGUIMIENTO!R$23:R$122,"SI")</f>
        <v>0</v>
      </c>
      <c r="AR20" s="161">
        <f>COUNTIFS(SEGUIMIENTO!$G$23:$G$122,"&gt;=60",SEGUIMIENTO!S$23:S$122,"SI")</f>
        <v>0</v>
      </c>
      <c r="AS20" s="161">
        <f>COUNTIFS(SEGUIMIENTO!$G$23:$G$122,"&gt;=60",SEGUIMIENTO!T$23:T$122,"SI")</f>
        <v>0</v>
      </c>
      <c r="AT20" s="161">
        <f>COUNTIFS(SEGUIMIENTO!$G$23:$G$122,"&gt;=60",SEGUIMIENTO!U$23:U$122,"SI")</f>
        <v>0</v>
      </c>
      <c r="AU20" s="161">
        <f>COUNTIFS(SEGUIMIENTO!$G$23:$G$122,"&gt;=60",SEGUIMIENTO!V$23:V$122,"SI")</f>
        <v>0</v>
      </c>
      <c r="AV20" s="162">
        <f>COUNTIFS(SEGUIMIENTO!$G$23:$G$122,"&gt;=60",SEGUIMIENTO!W$23:W$122,"SI")</f>
        <v>0</v>
      </c>
      <c r="AW20" s="22"/>
      <c r="AX20" s="22"/>
      <c r="AY20" s="196">
        <f>COUNTIFS(SEGUIMIENTO!$G$23:$G$122,"&gt;=60",SEGUIMIENTO!X$23:X$122,"SI")</f>
        <v>0</v>
      </c>
      <c r="AZ20" s="9"/>
      <c r="BA20" s="160">
        <f>COUNTIFS(SEGUIMIENTO!$G$23:$G$122,"&gt;=60",SEGUIMIENTO!$Y$23:$Y$122,"I-MB")</f>
        <v>0</v>
      </c>
      <c r="BB20" s="161">
        <f>COUNTIFS(SEGUIMIENTO!$G$23:$G$122,"&gt;=60",SEGUIMIENTO!$Y$23:$Y$122,"I-U")</f>
        <v>0</v>
      </c>
      <c r="BC20" s="161">
        <f>COUNTIFS(SEGUIMIENTO!$G$23:$G$122,"&gt;=60",SEGUIMIENTO!$Y$23:$Y$122,"I-I")</f>
        <v>0</v>
      </c>
      <c r="BD20" s="161">
        <f>COUNTIFS(SEGUIMIENTO!$G$23:$G$122,"&gt;=60",SEGUIMIENTO!$Y$23:$Y$122,"I-K")</f>
        <v>0</v>
      </c>
      <c r="BE20" s="161">
        <f>COUNTIFS(SEGUIMIENTO!$G$23:$G$122,"&gt;=60",SEGUIMIENTO!$Y$23:$Y$122,"I-FD")</f>
        <v>0</v>
      </c>
      <c r="BF20" s="161">
        <f>COUNTIFS(SEGUIMIENTO!$G$23:$G$122,"&gt;=60",SEGUIMIENTO!$Y$23:$Y$122,"NARP")</f>
        <v>0</v>
      </c>
      <c r="BG20" s="161">
        <f>COUNTIFS(SEGUIMIENTO!$G$23:$G$122,"&gt;=60",SEGUIMIENTO!$Y$23:$Y$122,"R")</f>
        <v>0</v>
      </c>
      <c r="BH20" s="162">
        <f>COUNTIFS(SEGUIMIENTO!$G$23:$G$122,"&gt;=60",SEGUIMIENTO!$Y$23:$Y$122,"N/A")</f>
        <v>0</v>
      </c>
      <c r="BI20" s="22"/>
      <c r="BJ20" s="22"/>
      <c r="BK20" s="160">
        <f>COUNTIFS(SEGUIMIENTO!$G$23:$G$122,"&gt;=60",SEGUIMIENTO!$AA$23:$AA$122,"JAC")</f>
        <v>0</v>
      </c>
      <c r="BL20" s="161">
        <f>COUNTIFS(SEGUIMIENTO!$G$23:$G$122,"&gt;=60",SEGUIMIENTO!$AA$23:$AA$122,"JAL")</f>
        <v>0</v>
      </c>
      <c r="BM20" s="161">
        <f>COUNTIFS(SEGUIMIENTO!$G$23:$G$122,"&gt;=60",SEGUIMIENTO!$AA$23:$AA$122,"AMB")</f>
        <v>0</v>
      </c>
      <c r="BN20" s="161">
        <f>COUNTIFS(SEGUIMIENTO!$G$23:$G$122,"&gt;=60",SEGUIMIENTO!$AA$23:$AA$122,"DDHH")</f>
        <v>0</v>
      </c>
      <c r="BO20" s="161">
        <f>COUNTIFS(SEGUIMIENTO!$G$23:$G$122,"&gt;=60",SEGUIMIENTO!$AA$23:$AA$122,"SIND")</f>
        <v>0</v>
      </c>
      <c r="BP20" s="161">
        <f>COUNTIFS(SEGUIMIENTO!$G$23:$G$122,"&gt;=60",SEGUIMIENTO!$AA$23:$AA$122,"REL")</f>
        <v>0</v>
      </c>
      <c r="BQ20" s="161">
        <f>COUNTIFS(SEGUIMIENTO!$G$23:$G$122,"&gt;=60",SEGUIMIENTO!$AA$23:$AA$122,"OTR")</f>
        <v>0</v>
      </c>
      <c r="BR20" s="162">
        <f>COUNTIFS(SEGUIMIENTO!$G$23:$G$122,"&gt;=60",SEGUIMIENTO!$AA$23:$AA$122,"N/A")</f>
        <v>0</v>
      </c>
      <c r="BS20" s="22"/>
      <c r="BT20" s="22"/>
      <c r="BU20" s="160">
        <f>COUNTIFS(SEGUIMIENTO!$G$23:$G$122,"&gt;=60",SEGUIMIENTO!$AB$23:$AB$122,"RUR")</f>
        <v>0</v>
      </c>
      <c r="BV20" s="162">
        <f>COUNTIFS(SEGUIMIENTO!$G$23:$G$122,"&gt;=60",SEGUIMIENTO!$AB$23:$AB$122,"URB")</f>
        <v>0</v>
      </c>
      <c r="BW20" s="22"/>
      <c r="BX20" s="22"/>
      <c r="BY20" s="160">
        <f>COUNTIFS(SEGUIMIENTO!$G$23:$G$122,"&gt;=60",SEGUIMIENTO!$AD$23:$AD$122,"1")</f>
        <v>0</v>
      </c>
      <c r="BZ20" s="161">
        <f>COUNTIFS(SEGUIMIENTO!$G$23:$G$122,"&gt;=60",SEGUIMIENTO!$AD$23:$AD$122,"2")</f>
        <v>0</v>
      </c>
      <c r="CA20" s="161">
        <f>COUNTIFS(SEGUIMIENTO!$G$23:$G$122,"&gt;=60",SEGUIMIENTO!$AD$23:$AD$122,"3")</f>
        <v>0</v>
      </c>
      <c r="CB20" s="161">
        <f>COUNTIFS(SEGUIMIENTO!$G$23:$G$122,"&gt;=60",SEGUIMIENTO!$AD$23:$AD$122,"4")</f>
        <v>0</v>
      </c>
      <c r="CC20" s="161">
        <f>COUNTIFS(SEGUIMIENTO!$G$23:$G$122,"&gt;=60",SEGUIMIENTO!$AD$23:$AD$122,"5")</f>
        <v>0</v>
      </c>
      <c r="CD20" s="161">
        <f>COUNTIFS(SEGUIMIENTO!$G$23:$G$122,"&gt;=60",SEGUIMIENTO!$AD$23:$AD$122,"6")</f>
        <v>0</v>
      </c>
      <c r="CE20" s="161">
        <f>COUNTIFS(SEGUIMIENTO!$G$23:$G$122,"&gt;=60",SEGUIMIENTO!$AD$23:$AD$122,"7")</f>
        <v>0</v>
      </c>
      <c r="CF20" s="161">
        <f>COUNTIFS(SEGUIMIENTO!$G$23:$G$122,"&gt;=60",SEGUIMIENTO!$AD$23:$AD$122,"8")</f>
        <v>0</v>
      </c>
      <c r="CG20" s="162">
        <f>COUNTIFS(SEGUIMIENTO!$G$23:$G$122,"&gt;=60",SEGUIMIENTO!$AD$23:$AD$122,"9")</f>
        <v>0</v>
      </c>
      <c r="CH20" s="22"/>
      <c r="CI20" s="22"/>
      <c r="CJ20" s="160">
        <f>COUNTIFS(SEGUIMIENTO!$G$23:$G$122,"&gt;=60",SEGUIMIENTO!$Y$23:$Y$122,"1")</f>
        <v>0</v>
      </c>
      <c r="CK20" s="161">
        <f>COUNTIFS(SEGUIMIENTO!$G$23:$G$122,"&gt;=60",SEGUIMIENTO!$Y$23:$Y$122,"2")</f>
        <v>0</v>
      </c>
      <c r="CL20" s="161">
        <f>COUNTIFS(SEGUIMIENTO!$G$23:$G$122,"&gt;=60",SEGUIMIENTO!$Y$23:$Y$122,"3")</f>
        <v>0</v>
      </c>
      <c r="CM20" s="161">
        <f>COUNTIFS(SEGUIMIENTO!$G$23:$G$122,"&gt;=60",SEGUIMIENTO!$Y$23:$Y$122,"4")</f>
        <v>0</v>
      </c>
      <c r="CN20" s="161">
        <f>COUNTIFS(SEGUIMIENTO!$G$23:$G$122,"&gt;=60",SEGUIMIENTO!$Y$23:$Y$122,"5")</f>
        <v>0</v>
      </c>
      <c r="CO20" s="161">
        <f>COUNTIFS(SEGUIMIENTO!$G$23:$G$122,"&gt;=60",SEGUIMIENTO!$Y$23:$Y$122,"6")</f>
        <v>0</v>
      </c>
      <c r="CP20" s="161">
        <f>COUNTIFS(SEGUIMIENTO!$G$23:$G$122,"&gt;=60",SEGUIMIENTO!$Y$23:$Y$122,"7")</f>
        <v>0</v>
      </c>
      <c r="CQ20" s="161">
        <f>COUNTIFS(SEGUIMIENTO!$G$23:$G$122,"&gt;=60",SEGUIMIENTO!$Y$23:$Y$122,"8")</f>
        <v>0</v>
      </c>
      <c r="CR20" s="161">
        <f>COUNTIFS(SEGUIMIENTO!$G$23:$G$122,"&gt;=60",SEGUIMIENTO!$Y$23:$Y$122,"9")</f>
        <v>0</v>
      </c>
      <c r="CS20" s="161">
        <f>COUNTIFS(SEGUIMIENTO!$G$23:$G$122,"&gt;=60",SEGUIMIENTO!$Y$23:$Y$122,"10")</f>
        <v>0</v>
      </c>
      <c r="CT20" s="161">
        <f>COUNTIFS(SEGUIMIENTO!$G$23:$G$122,"&gt;=60",SEGUIMIENTO!$Y$23:$Y$122,"11")</f>
        <v>0</v>
      </c>
      <c r="CU20" s="161">
        <f>COUNTIFS(SEGUIMIENTO!$G$23:$G$122,"&gt;=60",SEGUIMIENTO!$Y$23:$Y$122,"12")</f>
        <v>0</v>
      </c>
      <c r="CV20" s="161">
        <f>COUNTIFS(SEGUIMIENTO!$G$23:$G$122,"&gt;=60",SEGUIMIENTO!$Y$23:$Y$122,"13")</f>
        <v>0</v>
      </c>
      <c r="CW20" s="161">
        <f>COUNTIFS(SEGUIMIENTO!$G$23:$G$122,"&gt;=60",SEGUIMIENTO!$Y$23:$Y$122,"14")</f>
        <v>0</v>
      </c>
      <c r="CX20" s="161">
        <f>COUNTIFS(SEGUIMIENTO!$G$23:$G$122,"&gt;=60",SEGUIMIENTO!$Y$23:$Y$122,"15")</f>
        <v>0</v>
      </c>
      <c r="CY20" s="161">
        <f>COUNTIFS(SEGUIMIENTO!$G$23:$G$122,"&gt;=60",SEGUIMIENTO!$Y$23:$Y$122,"16")</f>
        <v>0</v>
      </c>
      <c r="CZ20" s="162">
        <f>COUNTIFS(SEGUIMIENTO!$G$23:$G$122,"&gt;=60",SEGUIMIENTO!$Y$23:$Y$122,"N/A")</f>
        <v>0</v>
      </c>
      <c r="DA20" s="216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U20" s="35" t="s">
        <v>24</v>
      </c>
      <c r="DV20" s="35"/>
      <c r="DX20" s="35" t="s">
        <v>76</v>
      </c>
      <c r="DY20" s="34">
        <v>5</v>
      </c>
      <c r="DZ20" s="34"/>
      <c r="EA20" s="35" t="s">
        <v>169</v>
      </c>
      <c r="EB20" s="35"/>
      <c r="EC20" s="34">
        <v>5</v>
      </c>
      <c r="EJ20" s="216"/>
    </row>
    <row r="21" spans="2:140" s="11" customFormat="1" ht="12.45" customHeight="1" thickBot="1" x14ac:dyDescent="0.25">
      <c r="B21" s="112"/>
      <c r="C21" s="115"/>
      <c r="D21" s="333" t="s">
        <v>47</v>
      </c>
      <c r="E21" s="351"/>
      <c r="F21" s="351"/>
      <c r="G21" s="351"/>
      <c r="H21" s="351"/>
      <c r="I21" s="351"/>
      <c r="J21" s="351"/>
      <c r="K21" s="351"/>
      <c r="L21" s="351"/>
      <c r="M21" s="154">
        <f>COUNT(SEGUIMIENTO!G23:G122)-(SUM(M16:M20))</f>
        <v>0</v>
      </c>
      <c r="N21" s="22"/>
      <c r="O21" s="156"/>
      <c r="P21" s="156"/>
      <c r="Q21" s="156"/>
      <c r="R21" s="156"/>
      <c r="S21" s="156"/>
      <c r="T21" s="156"/>
      <c r="U21" s="22"/>
      <c r="V21" s="22"/>
      <c r="W21" s="152">
        <f>COUNTIFS(SEGUIMIENTO!$G$23:$G$122,"&lt;60",SEGUIMIENTO!$G$23:$G$122,"&gt;24",SEGUIMIENTO!$H$23:$H$122,"NU")</f>
        <v>0</v>
      </c>
      <c r="X21" s="153">
        <f>COUNTIFS(SEGUIMIENTO!$G$23:$G$122,"&lt;60",SEGUIMIENTO!$G$23:$G$122,"&gt;24",SEGUIMIENTO!$H$23:$H$122,"RC")</f>
        <v>0</v>
      </c>
      <c r="Y21" s="153">
        <f>COUNTIFS(SEGUIMIENTO!$G$23:$G$122,"&lt;60",SEGUIMIENTO!$G$23:$G$122,"&gt;24",SEGUIMIENTO!$H$23:$H$122,"TI")</f>
        <v>0</v>
      </c>
      <c r="Z21" s="153">
        <f>COUNTIFS(SEGUIMIENTO!$G$23:$G$122,"&lt;60",SEGUIMIENTO!$G$23:$G$122,"&gt;24",SEGUIMIENTO!$H$23:$H$122,"CC")</f>
        <v>0</v>
      </c>
      <c r="AA21" s="153">
        <f>COUNTIFS(SEGUIMIENTO!$G$23:$G$122,"&lt;60",SEGUIMIENTO!$G$23:$G$122,"&gt;24",SEGUIMIENTO!$H$23:$H$122,"CE")</f>
        <v>0</v>
      </c>
      <c r="AB21" s="153">
        <f>COUNTIFS(SEGUIMIENTO!$G$23:$G$122,"&lt;60",SEGUIMIENTO!$G$23:$G$122,"&gt;24",SEGUIMIENTO!$H$23:$H$122,"PA")</f>
        <v>0</v>
      </c>
      <c r="AC21" s="154">
        <f>COUNTIFS(SEGUIMIENTO!$G$23:$G$122,"&lt;60",SEGUIMIENTO!$G$23:$G$122,"&gt;24",SEGUIMIENTO!$H$23:$H$122,"SD")</f>
        <v>0</v>
      </c>
      <c r="AD21" s="22"/>
      <c r="AE21" s="22"/>
      <c r="AF21" s="152">
        <f>COUNTIFS(SEGUIMIENTO!$G$23:$G$122,"&lt;60",SEGUIMIENTO!$G$23:$G$122,"&gt;24",SEGUIMIENTO!$J$23:$J$122,"M")</f>
        <v>0</v>
      </c>
      <c r="AG21" s="154">
        <f>COUNTIFS(SEGUIMIENTO!$G$23:$G$122,"&lt;60",SEGUIMIENTO!$G$23:$G$122,"&gt;24",SEGUIMIENTO!$J$23:$J$122,"F")</f>
        <v>0</v>
      </c>
      <c r="AH21" s="22"/>
      <c r="AI21" s="22"/>
      <c r="AJ21" s="152">
        <f>COUNTIFS(SEGUIMIENTO!$G$23:$G$122,"&lt;60",SEGUIMIENTO!$G$23:$G$122,"&gt;24",SEGUIMIENTO!K$23:K$122,"SI")</f>
        <v>0</v>
      </c>
      <c r="AK21" s="153">
        <f>COUNTIFS(SEGUIMIENTO!$G$23:$G$122,"&lt;60",SEGUIMIENTO!$G$23:$G$122,"&gt;24",SEGUIMIENTO!L$23:L$122,"SI")</f>
        <v>0</v>
      </c>
      <c r="AL21" s="153">
        <f>COUNTIFS(SEGUIMIENTO!$G$23:$G$122,"&lt;60",SEGUIMIENTO!$G$23:$G$122,"&gt;24",SEGUIMIENTO!M$23:M$122,"SI")</f>
        <v>0</v>
      </c>
      <c r="AM21" s="153">
        <f>COUNTIFS(SEGUIMIENTO!$G$23:$G$122,"&lt;60",SEGUIMIENTO!$G$23:$G$122,"&gt;24",SEGUIMIENTO!N$23:N$122,"SI")</f>
        <v>0</v>
      </c>
      <c r="AN21" s="153">
        <f>COUNTIFS(SEGUIMIENTO!$G$23:$G$122,"&lt;60",SEGUIMIENTO!$G$23:$G$122,"&gt;24",SEGUIMIENTO!O$23:O$122,"SI")</f>
        <v>0</v>
      </c>
      <c r="AO21" s="153">
        <f>COUNTIFS(SEGUIMIENTO!$G$23:$G$122,"&lt;60",SEGUIMIENTO!$G$23:$G$122,"&gt;24",SEGUIMIENTO!P$23:P$122,"SI")</f>
        <v>0</v>
      </c>
      <c r="AP21" s="153">
        <f>COUNTIFS(SEGUIMIENTO!$G$23:$G$122,"&lt;60",SEGUIMIENTO!$G$23:$G$122,"&gt;24",SEGUIMIENTO!Q$23:Q$122,"SI")</f>
        <v>0</v>
      </c>
      <c r="AQ21" s="153">
        <f>COUNTIFS(SEGUIMIENTO!$G$23:$G$122,"&lt;60",SEGUIMIENTO!$G$23:$G$122,"&gt;24",SEGUIMIENTO!R$23:R$122,"SI")</f>
        <v>0</v>
      </c>
      <c r="AR21" s="153">
        <f>COUNTIFS(SEGUIMIENTO!$G$23:$G$122,"&lt;60",SEGUIMIENTO!$G$23:$G$122,"&gt;24",SEGUIMIENTO!S$23:S$122,"SI")</f>
        <v>0</v>
      </c>
      <c r="AS21" s="153">
        <f>COUNTIFS(SEGUIMIENTO!$G$23:$G$122,"&lt;60",SEGUIMIENTO!$G$23:$G$122,"&gt;24",SEGUIMIENTO!T$23:T$122,"SI")</f>
        <v>0</v>
      </c>
      <c r="AT21" s="153">
        <f>COUNTIFS(SEGUIMIENTO!$G$23:$G$122,"&lt;60",SEGUIMIENTO!$G$23:$G$122,"&gt;24",SEGUIMIENTO!U$23:U$122,"SI")</f>
        <v>0</v>
      </c>
      <c r="AU21" s="153">
        <f>COUNTIFS(SEGUIMIENTO!$G$23:$G$122,"&lt;60",SEGUIMIENTO!$G$23:$G$122,"&gt;24",SEGUIMIENTO!V$23:V$122,"SI")</f>
        <v>0</v>
      </c>
      <c r="AV21" s="154">
        <f>COUNTIFS(SEGUIMIENTO!$G$23:$G$122,"&lt;60",SEGUIMIENTO!$G$23:$G$122,"&gt;24",SEGUIMIENTO!W$23:W$122,"SI")</f>
        <v>0</v>
      </c>
      <c r="AW21" s="22"/>
      <c r="AX21" s="22"/>
      <c r="AY21" s="194">
        <f>COUNTIFS(SEGUIMIENTO!$G$23:$G$122,"&lt;60",SEGUIMIENTO!$G$23:$G$122,"&gt;24",SEGUIMIENTO!X$23:X$122,"SI")</f>
        <v>0</v>
      </c>
      <c r="AZ21" s="9"/>
      <c r="BA21" s="152">
        <f>COUNTIFS(SEGUIMIENTO!$G$23:$G$122,"&lt;60",SEGUIMIENTO!$G$23:$G$122,"&gt;24",SEGUIMIENTO!$Y$23:$Y$122,"I-MB")</f>
        <v>0</v>
      </c>
      <c r="BB21" s="153">
        <f>COUNTIFS(SEGUIMIENTO!$G$23:$G$122,"&lt;60",SEGUIMIENTO!$G$23:$G$122,"&gt;24",SEGUIMIENTO!$Y$23:$Y$122,"I-U")</f>
        <v>0</v>
      </c>
      <c r="BC21" s="153">
        <f>COUNTIFS(SEGUIMIENTO!$G$23:$G$122,"&lt;60",SEGUIMIENTO!$G$23:$G$122,"&gt;24",SEGUIMIENTO!$Y$23:$Y$122,"I-I")</f>
        <v>0</v>
      </c>
      <c r="BD21" s="153">
        <f>COUNTIFS(SEGUIMIENTO!$G$23:$G$122,"&lt;60",SEGUIMIENTO!$G$23:$G$122,"&gt;24",SEGUIMIENTO!$Y$23:$Y$122,"I-K")</f>
        <v>0</v>
      </c>
      <c r="BE21" s="153">
        <f>COUNTIFS(SEGUIMIENTO!$G$23:$G$122,"&lt;60",SEGUIMIENTO!$G$23:$G$122,"&gt;24",SEGUIMIENTO!$Y$23:$Y$122,"I-FD")</f>
        <v>0</v>
      </c>
      <c r="BF21" s="153">
        <f>COUNTIFS(SEGUIMIENTO!$G$23:$G$122,"&lt;60",SEGUIMIENTO!$G$23:$G$122,"&gt;24",SEGUIMIENTO!$Y$23:$Y$122,"NARP")</f>
        <v>0</v>
      </c>
      <c r="BG21" s="153">
        <f>COUNTIFS(SEGUIMIENTO!$G$23:$G$122,"&lt;60",SEGUIMIENTO!$G$23:$G$122,"&gt;24",SEGUIMIENTO!$Y$23:$Y$122,"R")</f>
        <v>0</v>
      </c>
      <c r="BH21" s="154">
        <f>COUNTIFS(SEGUIMIENTO!$G$23:$G$122,"&lt;60",SEGUIMIENTO!$G$23:$G$122,"&gt;24",SEGUIMIENTO!$Y$23:$Y$122,"N/A")</f>
        <v>0</v>
      </c>
      <c r="BI21" s="22"/>
      <c r="BJ21" s="22"/>
      <c r="BK21" s="220">
        <f>COUNTIFS(SEGUIMIENTO!$G$23:$G$122,"&lt;60",SEGUIMIENTO!$G$23:$G$122,"&gt;24",SEGUIMIENTO!$AA$23:$AA$122,"JAC")</f>
        <v>0</v>
      </c>
      <c r="BL21" s="221">
        <f>COUNTIFS(SEGUIMIENTO!$G$23:$G$122,"&lt;60",SEGUIMIENTO!$G$23:$G$122,"&gt;24",SEGUIMIENTO!$AA$23:$AA$122,"JAL")</f>
        <v>0</v>
      </c>
      <c r="BM21" s="221">
        <f>COUNTIFS(SEGUIMIENTO!$G$23:$G$122,"&lt;60",SEGUIMIENTO!$G$23:$G$122,"&gt;24",SEGUIMIENTO!$AA$23:$AA$122,"AMB")</f>
        <v>0</v>
      </c>
      <c r="BN21" s="221">
        <f>COUNTIFS(SEGUIMIENTO!$G$23:$G$122,"&lt;60",SEGUIMIENTO!$G$23:$G$122,"&gt;24",SEGUIMIENTO!$AA$23:$AA$122,"DDHH")</f>
        <v>0</v>
      </c>
      <c r="BO21" s="221">
        <f>COUNTIFS(SEGUIMIENTO!$G$23:$G$122,"&lt;60",SEGUIMIENTO!$G$23:$G$122,"&gt;24",SEGUIMIENTO!$AA$23:$AA$122,"SIND")</f>
        <v>0</v>
      </c>
      <c r="BP21" s="221">
        <f>COUNTIFS(SEGUIMIENTO!$G$23:$G$122,"&lt;60",SEGUIMIENTO!$G$23:$G$122,"&gt;24",SEGUIMIENTO!$AA$23:$AA$122,"REL")</f>
        <v>0</v>
      </c>
      <c r="BQ21" s="221">
        <f>COUNTIFS(SEGUIMIENTO!$G$23:$G$122,"&lt;60",SEGUIMIENTO!$G$23:$G$122,"&gt;24",SEGUIMIENTO!$AA$23:$AA$122,"OTR")</f>
        <v>0</v>
      </c>
      <c r="BR21" s="222">
        <f>COUNTIFS(SEGUIMIENTO!$G$23:$G$122,"&lt;60",SEGUIMIENTO!$G$23:$G$122,"&gt;24",SEGUIMIENTO!$AA$23:$AA$122,"N/A")</f>
        <v>0</v>
      </c>
      <c r="BS21" s="22"/>
      <c r="BT21" s="22"/>
      <c r="BU21" s="220">
        <f>COUNTIFS(SEGUIMIENTO!$G$23:$G$122,"&lt;60",SEGUIMIENTO!$G$23:$G$122,"&gt;24",SEGUIMIENTO!$AB$23:$AB$122,"RUR")</f>
        <v>0</v>
      </c>
      <c r="BV21" s="222">
        <f>COUNTIFS(SEGUIMIENTO!$G$23:$G$122,"&lt;60",SEGUIMIENTO!$G$23:$G$122,"&gt;24",SEGUIMIENTO!$AB$23:$AB$122,"URB")</f>
        <v>0</v>
      </c>
      <c r="BW21" s="22"/>
      <c r="BX21" s="22"/>
      <c r="BY21" s="220">
        <f>COUNTIFS(SEGUIMIENTO!$G$23:$G$122,"&lt;60",SEGUIMIENTO!$G$23:$G$122,"&gt;24",SEGUIMIENTO!$AD$23:$AD$122,"1")</f>
        <v>0</v>
      </c>
      <c r="BZ21" s="221">
        <f>COUNTIFS(SEGUIMIENTO!$G$23:$G$122,"&lt;60",SEGUIMIENTO!$G$23:$G$122,"&gt;24",SEGUIMIENTO!$AD$23:$AD$122,"2")</f>
        <v>0</v>
      </c>
      <c r="CA21" s="221">
        <f>COUNTIFS(SEGUIMIENTO!$G$23:$G$122,"&lt;60",SEGUIMIENTO!$G$23:$G$122,"&gt;24",SEGUIMIENTO!$AD$23:$AD$122,"3")</f>
        <v>0</v>
      </c>
      <c r="CB21" s="221">
        <f>COUNTIFS(SEGUIMIENTO!$G$23:$G$122,"&lt;60",SEGUIMIENTO!$G$23:$G$122,"&gt;24",SEGUIMIENTO!$AD$23:$AD$122,"4")</f>
        <v>0</v>
      </c>
      <c r="CC21" s="221">
        <f>COUNTIFS(SEGUIMIENTO!$G$23:$G$122,"&lt;60",SEGUIMIENTO!$G$23:$G$122,"&gt;24",SEGUIMIENTO!$AD$23:$AD$122,"5")</f>
        <v>0</v>
      </c>
      <c r="CD21" s="221">
        <f>COUNTIFS(SEGUIMIENTO!$G$23:$G$122,"&lt;60",SEGUIMIENTO!$G$23:$G$122,"&gt;24",SEGUIMIENTO!$AD$23:$AD$122,"6")</f>
        <v>0</v>
      </c>
      <c r="CE21" s="221">
        <f>COUNTIFS(SEGUIMIENTO!$G$23:$G$122,"&lt;60",SEGUIMIENTO!$G$23:$G$122,"&gt;24",SEGUIMIENTO!$AD$23:$AD$122,"7")</f>
        <v>0</v>
      </c>
      <c r="CF21" s="221">
        <f>COUNTIFS(SEGUIMIENTO!$G$23:$G$122,"&lt;60",SEGUIMIENTO!$G$23:$G$122,"&gt;24",SEGUIMIENTO!$AD$23:$AD$122,"8")</f>
        <v>0</v>
      </c>
      <c r="CG21" s="222">
        <f>COUNTIFS(SEGUIMIENTO!$G$23:$G$122,"&lt;60",SEGUIMIENTO!$G$23:$G$122,"&gt;24",SEGUIMIENTO!$AD$23:$AD$122,"9")</f>
        <v>0</v>
      </c>
      <c r="CH21" s="22"/>
      <c r="CI21" s="22"/>
      <c r="CJ21" s="220">
        <f>COUNTIFS(SEGUIMIENTO!$G$23:$G$122,"&lt;60",SEGUIMIENTO!$G$23:$G$122,"&gt;24",SEGUIMIENTO!$Y$23:$Y$122,"1")</f>
        <v>0</v>
      </c>
      <c r="CK21" s="221">
        <f>COUNTIFS(SEGUIMIENTO!$G$23:$G$122,"&lt;60",SEGUIMIENTO!$G$23:$G$122,"&gt;24",SEGUIMIENTO!$Y$23:$Y$122,"2")</f>
        <v>0</v>
      </c>
      <c r="CL21" s="221">
        <f>COUNTIFS(SEGUIMIENTO!$G$23:$G$122,"&lt;60",SEGUIMIENTO!$G$23:$G$122,"&gt;24",SEGUIMIENTO!$Y$23:$Y$122,"3")</f>
        <v>0</v>
      </c>
      <c r="CM21" s="221">
        <f>COUNTIFS(SEGUIMIENTO!$G$23:$G$122,"&lt;60",SEGUIMIENTO!$G$23:$G$122,"&gt;24",SEGUIMIENTO!$Y$23:$Y$122,"4")</f>
        <v>0</v>
      </c>
      <c r="CN21" s="221">
        <f>COUNTIFS(SEGUIMIENTO!$G$23:$G$122,"&lt;60",SEGUIMIENTO!$G$23:$G$122,"&gt;24",SEGUIMIENTO!$Y$23:$Y$122,"5")</f>
        <v>0</v>
      </c>
      <c r="CO21" s="221">
        <f>COUNTIFS(SEGUIMIENTO!$G$23:$G$122,"&lt;60",SEGUIMIENTO!$G$23:$G$122,"&gt;24",SEGUIMIENTO!$Y$23:$Y$122,"6")</f>
        <v>0</v>
      </c>
      <c r="CP21" s="221">
        <f>COUNTIFS(SEGUIMIENTO!$G$23:$G$122,"&lt;60",SEGUIMIENTO!$G$23:$G$122,"&gt;24",SEGUIMIENTO!$Y$23:$Y$122,"7")</f>
        <v>0</v>
      </c>
      <c r="CQ21" s="221">
        <f>COUNTIFS(SEGUIMIENTO!$G$23:$G$122,"&lt;60",SEGUIMIENTO!$G$23:$G$122,"&gt;24",SEGUIMIENTO!$Y$23:$Y$122,"8")</f>
        <v>0</v>
      </c>
      <c r="CR21" s="221">
        <f>COUNTIFS(SEGUIMIENTO!$G$23:$G$122,"&lt;60",SEGUIMIENTO!$G$23:$G$122,"&gt;24",SEGUIMIENTO!$Y$23:$Y$122,"9")</f>
        <v>0</v>
      </c>
      <c r="CS21" s="221">
        <f>COUNTIFS(SEGUIMIENTO!$G$23:$G$122,"&lt;60",SEGUIMIENTO!$G$23:$G$122,"&gt;24",SEGUIMIENTO!$Y$23:$Y$122,"10")</f>
        <v>0</v>
      </c>
      <c r="CT21" s="221">
        <f>COUNTIFS(SEGUIMIENTO!$G$23:$G$122,"&lt;60",SEGUIMIENTO!$G$23:$G$122,"&gt;24",SEGUIMIENTO!$Y$23:$Y$122,"11")</f>
        <v>0</v>
      </c>
      <c r="CU21" s="221">
        <f>COUNTIFS(SEGUIMIENTO!$G$23:$G$122,"&lt;60",SEGUIMIENTO!$G$23:$G$122,"&gt;24",SEGUIMIENTO!$Y$23:$Y$122,"12")</f>
        <v>0</v>
      </c>
      <c r="CV21" s="221">
        <f>COUNTIFS(SEGUIMIENTO!$G$23:$G$122,"&lt;60",SEGUIMIENTO!$G$23:$G$122,"&gt;24",SEGUIMIENTO!$Y$23:$Y$122,"13")</f>
        <v>0</v>
      </c>
      <c r="CW21" s="221">
        <f>COUNTIFS(SEGUIMIENTO!$G$23:$G$122,"&lt;60",SEGUIMIENTO!$G$23:$G$122,"&gt;24",SEGUIMIENTO!$Y$23:$Y$122,"14")</f>
        <v>0</v>
      </c>
      <c r="CX21" s="221">
        <f>COUNTIFS(SEGUIMIENTO!$G$23:$G$122,"&lt;60",SEGUIMIENTO!$G$23:$G$122,"&gt;24",SEGUIMIENTO!$Y$23:$Y$122,"15")</f>
        <v>0</v>
      </c>
      <c r="CY21" s="221">
        <f>COUNTIFS(SEGUIMIENTO!$G$23:$G$122,"&lt;60",SEGUIMIENTO!$G$23:$G$122,"&gt;24",SEGUIMIENTO!$Y$23:$Y$122,"16")</f>
        <v>0</v>
      </c>
      <c r="CZ21" s="222">
        <f>COUNTIFS(SEGUIMIENTO!$G$23:$G$122,"&lt;60",SEGUIMIENTO!$G$23:$G$122,"&gt;24",SEGUIMIENTO!$Y$23:$Y$122,"N/A")</f>
        <v>0</v>
      </c>
      <c r="DA21" s="216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U21" s="35" t="s">
        <v>25</v>
      </c>
      <c r="DV21" s="35"/>
      <c r="DX21" s="35" t="s">
        <v>112</v>
      </c>
      <c r="DY21" s="34">
        <v>6</v>
      </c>
      <c r="DZ21" s="34"/>
      <c r="EA21" s="35" t="s">
        <v>170</v>
      </c>
      <c r="EB21" s="35"/>
      <c r="EC21" s="34">
        <v>6</v>
      </c>
      <c r="EJ21" s="216"/>
    </row>
    <row r="22" spans="2:140" s="11" customFormat="1" ht="12.45" customHeight="1" thickBot="1" x14ac:dyDescent="0.25">
      <c r="B22" s="113"/>
      <c r="C22" s="303"/>
      <c r="D22" s="347" t="s">
        <v>90</v>
      </c>
      <c r="E22" s="348"/>
      <c r="F22" s="348"/>
      <c r="G22" s="348"/>
      <c r="H22" s="348"/>
      <c r="I22" s="348"/>
      <c r="J22" s="348"/>
      <c r="K22" s="348"/>
      <c r="L22" s="348"/>
      <c r="M22" s="144">
        <f>SUM(M16:M21)</f>
        <v>0</v>
      </c>
      <c r="N22" s="5"/>
      <c r="O22" s="5"/>
      <c r="P22" s="5"/>
      <c r="Q22" s="5"/>
      <c r="R22" s="5"/>
      <c r="S22" s="5"/>
      <c r="T22" s="5"/>
      <c r="U22" s="5"/>
      <c r="V22" s="5"/>
      <c r="W22" s="10">
        <f>SUM(W16:W21)</f>
        <v>0</v>
      </c>
      <c r="X22" s="10">
        <f t="shared" ref="X22:AC22" si="0">SUM(X16:X21)</f>
        <v>0</v>
      </c>
      <c r="Y22" s="10">
        <f t="shared" si="0"/>
        <v>0</v>
      </c>
      <c r="Z22" s="10">
        <f t="shared" si="0"/>
        <v>0</v>
      </c>
      <c r="AA22" s="10">
        <f t="shared" si="0"/>
        <v>0</v>
      </c>
      <c r="AB22" s="10">
        <f t="shared" si="0"/>
        <v>0</v>
      </c>
      <c r="AC22" s="10">
        <f t="shared" si="0"/>
        <v>0</v>
      </c>
      <c r="AD22" s="142">
        <f>SUM(W22:AC22)</f>
        <v>0</v>
      </c>
      <c r="AE22" s="10"/>
      <c r="AF22" s="10">
        <f>SUM(AF16:AF21)</f>
        <v>0</v>
      </c>
      <c r="AG22" s="10">
        <f>SUM(AG16:AG21)</f>
        <v>0</v>
      </c>
      <c r="AH22" s="142">
        <f>SUM(AF22:AG22)</f>
        <v>0</v>
      </c>
      <c r="AI22" s="10"/>
      <c r="AJ22" s="10">
        <f>SUM(AJ16:AJ21)</f>
        <v>0</v>
      </c>
      <c r="AK22" s="10">
        <f>SUM(AK16:AK21)</f>
        <v>0</v>
      </c>
      <c r="AL22" s="10">
        <f>SUM(AL16:AL21)</f>
        <v>0</v>
      </c>
      <c r="AM22" s="10">
        <f>SUM(AM16:AM21)</f>
        <v>0</v>
      </c>
      <c r="AN22" s="10">
        <f>SUM(AN16:AN21)</f>
        <v>0</v>
      </c>
      <c r="AO22" s="10">
        <f t="shared" ref="AO22:AV22" si="1">SUM(AO16:AO21)</f>
        <v>0</v>
      </c>
      <c r="AP22" s="10">
        <f t="shared" si="1"/>
        <v>0</v>
      </c>
      <c r="AQ22" s="10">
        <f t="shared" si="1"/>
        <v>0</v>
      </c>
      <c r="AR22" s="10">
        <f t="shared" si="1"/>
        <v>0</v>
      </c>
      <c r="AS22" s="10">
        <f t="shared" si="1"/>
        <v>0</v>
      </c>
      <c r="AT22" s="10">
        <f t="shared" si="1"/>
        <v>0</v>
      </c>
      <c r="AU22" s="10">
        <f t="shared" si="1"/>
        <v>0</v>
      </c>
      <c r="AV22" s="143">
        <f t="shared" si="1"/>
        <v>0</v>
      </c>
      <c r="AW22" s="140">
        <f>SUM(AJ22:AU22)</f>
        <v>0</v>
      </c>
      <c r="AX22" s="10"/>
      <c r="AY22" s="142">
        <f>SUM(AY16:AY21)</f>
        <v>0</v>
      </c>
      <c r="AZ22" s="10"/>
      <c r="BA22" s="10">
        <f>SUM(BA16:BA21)</f>
        <v>0</v>
      </c>
      <c r="BB22" s="10">
        <f>SUM(BB16:BB21)</f>
        <v>0</v>
      </c>
      <c r="BC22" s="10">
        <f>SUM(BC16:BC21)</f>
        <v>0</v>
      </c>
      <c r="BD22" s="10">
        <f t="shared" ref="BD22:BH22" si="2">SUM(BD16:BD21)</f>
        <v>0</v>
      </c>
      <c r="BE22" s="10">
        <f t="shared" si="2"/>
        <v>0</v>
      </c>
      <c r="BF22" s="10">
        <f t="shared" si="2"/>
        <v>0</v>
      </c>
      <c r="BG22" s="10">
        <f t="shared" si="2"/>
        <v>0</v>
      </c>
      <c r="BH22" s="143">
        <f t="shared" si="2"/>
        <v>0</v>
      </c>
      <c r="BI22" s="140">
        <f>SUM(BA22:BG22)</f>
        <v>0</v>
      </c>
      <c r="BJ22" s="10"/>
      <c r="BK22" s="10">
        <f t="shared" ref="BK22:BR22" si="3">SUM(BK16:BK21)</f>
        <v>0</v>
      </c>
      <c r="BL22" s="10">
        <f t="shared" si="3"/>
        <v>0</v>
      </c>
      <c r="BM22" s="10">
        <f t="shared" si="3"/>
        <v>0</v>
      </c>
      <c r="BN22" s="10">
        <f t="shared" si="3"/>
        <v>0</v>
      </c>
      <c r="BO22" s="10">
        <f t="shared" si="3"/>
        <v>0</v>
      </c>
      <c r="BP22" s="10">
        <f t="shared" si="3"/>
        <v>0</v>
      </c>
      <c r="BQ22" s="10">
        <f t="shared" si="3"/>
        <v>0</v>
      </c>
      <c r="BR22" s="223">
        <f t="shared" si="3"/>
        <v>0</v>
      </c>
      <c r="BS22" s="140">
        <f>SUM(BK22:BQ22)</f>
        <v>0</v>
      </c>
      <c r="BT22" s="10"/>
      <c r="BU22" s="10">
        <f t="shared" ref="BU22:BV22" si="4">SUM(BU16:BU21)</f>
        <v>0</v>
      </c>
      <c r="BV22" s="10">
        <f t="shared" si="4"/>
        <v>0</v>
      </c>
      <c r="BW22" s="142">
        <f>SUM(BU22:BV22)</f>
        <v>0</v>
      </c>
      <c r="BX22" s="10"/>
      <c r="BY22" s="10">
        <f t="shared" ref="BY22:CG22" si="5">SUM(BY16:BY21)</f>
        <v>0</v>
      </c>
      <c r="BZ22" s="10">
        <f t="shared" si="5"/>
        <v>0</v>
      </c>
      <c r="CA22" s="10">
        <f t="shared" si="5"/>
        <v>0</v>
      </c>
      <c r="CB22" s="10">
        <f t="shared" si="5"/>
        <v>0</v>
      </c>
      <c r="CC22" s="10">
        <f t="shared" si="5"/>
        <v>0</v>
      </c>
      <c r="CD22" s="10">
        <f t="shared" si="5"/>
        <v>0</v>
      </c>
      <c r="CE22" s="10">
        <f t="shared" si="5"/>
        <v>0</v>
      </c>
      <c r="CF22" s="10">
        <f t="shared" si="5"/>
        <v>0</v>
      </c>
      <c r="CG22" s="10">
        <f t="shared" si="5"/>
        <v>0</v>
      </c>
      <c r="CH22" s="142">
        <f>SUM(BY22:CG22)</f>
        <v>0</v>
      </c>
      <c r="CI22" s="10"/>
      <c r="CJ22" s="10">
        <f>SUM(CJ16:CJ21)</f>
        <v>0</v>
      </c>
      <c r="CK22" s="10">
        <f>SUM(CK16:CK21)</f>
        <v>0</v>
      </c>
      <c r="CL22" s="10">
        <f>SUM(CL16:CL21)</f>
        <v>0</v>
      </c>
      <c r="CM22" s="10">
        <f>SUM(CM16:CM21)</f>
        <v>0</v>
      </c>
      <c r="CN22" s="10">
        <f>SUM(CN16:CN21)</f>
        <v>0</v>
      </c>
      <c r="CO22" s="10">
        <f>SUM(CO16:CO21)</f>
        <v>0</v>
      </c>
      <c r="CP22" s="10">
        <f>SUM(CP16:CP21)</f>
        <v>0</v>
      </c>
      <c r="CQ22" s="10">
        <f>SUM(CQ16:CQ21)</f>
        <v>0</v>
      </c>
      <c r="CR22" s="10">
        <f>SUM(CR16:CR21)</f>
        <v>0</v>
      </c>
      <c r="CS22" s="10">
        <f>SUM(CS16:CS21)</f>
        <v>0</v>
      </c>
      <c r="CT22" s="10">
        <f>SUM(CT16:CT21)</f>
        <v>0</v>
      </c>
      <c r="CU22" s="10">
        <f>SUM(CU16:CU21)</f>
        <v>0</v>
      </c>
      <c r="CV22" s="10">
        <f>SUM(CV16:CV21)</f>
        <v>0</v>
      </c>
      <c r="CW22" s="10">
        <f>SUM(CW16:CW21)</f>
        <v>0</v>
      </c>
      <c r="CX22" s="10">
        <f>SUM(CX16:CX21)</f>
        <v>0</v>
      </c>
      <c r="CY22" s="10">
        <f>SUM(CY16:CY21)</f>
        <v>0</v>
      </c>
      <c r="CZ22" s="143">
        <f>SUM(CZ16:CZ21)</f>
        <v>0</v>
      </c>
      <c r="DA22" s="140">
        <f>SUM(CJ22:CY22)</f>
        <v>0</v>
      </c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U22" s="35" t="s">
        <v>26</v>
      </c>
      <c r="DV22" s="35"/>
      <c r="DX22" s="35" t="s">
        <v>77</v>
      </c>
      <c r="DY22" s="34">
        <v>7</v>
      </c>
      <c r="DZ22" s="34"/>
      <c r="EA22" s="35" t="s">
        <v>171</v>
      </c>
      <c r="EC22" s="34">
        <v>7</v>
      </c>
      <c r="EJ22" s="216"/>
    </row>
    <row r="23" spans="2:140" s="11" customFormat="1" ht="10.050000000000001" customHeight="1" thickBo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9"/>
      <c r="O23" s="9"/>
      <c r="P23" s="9"/>
      <c r="Q23" s="9"/>
      <c r="R23" s="9"/>
      <c r="S23" s="9"/>
      <c r="T23" s="9"/>
      <c r="U23" s="9"/>
      <c r="V23" s="9"/>
      <c r="W23" s="5"/>
      <c r="X23" s="284"/>
      <c r="Y23" s="284"/>
      <c r="Z23" s="284"/>
      <c r="AA23" s="284"/>
      <c r="AB23" s="284"/>
      <c r="AC23" s="284"/>
      <c r="AD23" s="284"/>
      <c r="AE23" s="284"/>
      <c r="AF23" s="5"/>
      <c r="AG23" s="284"/>
      <c r="AH23" s="284"/>
      <c r="AI23" s="284"/>
      <c r="AJ23" s="284"/>
      <c r="AK23" s="284"/>
      <c r="AL23" s="284"/>
      <c r="AM23" s="5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U23" s="35"/>
      <c r="DV23" s="35"/>
      <c r="DX23" s="35" t="s">
        <v>78</v>
      </c>
      <c r="DY23" s="34">
        <v>8</v>
      </c>
      <c r="DZ23" s="34"/>
      <c r="EA23" s="35" t="s">
        <v>78</v>
      </c>
      <c r="EC23" s="34">
        <v>8</v>
      </c>
      <c r="EJ23" s="407"/>
    </row>
    <row r="24" spans="2:140" s="11" customFormat="1" ht="12.45" customHeight="1" x14ac:dyDescent="0.2">
      <c r="B24" s="109" t="s">
        <v>1</v>
      </c>
      <c r="C24" s="309"/>
      <c r="D24" s="294" t="s">
        <v>28</v>
      </c>
      <c r="E24" s="307"/>
      <c r="F24" s="307"/>
      <c r="G24" s="307"/>
      <c r="H24" s="307"/>
      <c r="I24" s="307"/>
      <c r="J24" s="307"/>
      <c r="K24" s="307"/>
      <c r="L24" s="307"/>
      <c r="M24" s="171">
        <f>COUNTIF(SEGUIMIENTO!H23:H122,"NUI")</f>
        <v>0</v>
      </c>
      <c r="N24" s="22"/>
      <c r="O24" s="169">
        <f>+W16</f>
        <v>0</v>
      </c>
      <c r="P24" s="158">
        <f>+W17</f>
        <v>0</v>
      </c>
      <c r="Q24" s="184">
        <f>+W18</f>
        <v>0</v>
      </c>
      <c r="R24" s="158">
        <f>+W19</f>
        <v>0</v>
      </c>
      <c r="S24" s="186">
        <f>+W20</f>
        <v>0</v>
      </c>
      <c r="T24" s="159">
        <f>+W21</f>
        <v>0</v>
      </c>
      <c r="U24" s="22"/>
      <c r="V24" s="22"/>
      <c r="W24" s="156"/>
      <c r="X24" s="156"/>
      <c r="Y24" s="156"/>
      <c r="Z24" s="156"/>
      <c r="AA24" s="156"/>
      <c r="AB24" s="156"/>
      <c r="AC24" s="156"/>
      <c r="AD24" s="22"/>
      <c r="AE24" s="22"/>
      <c r="AF24" s="169">
        <f>COUNTIFS(SEGUIMIENTO!$H$23:$H$122,"NUI",SEGUIMIENTO!$J$23:$J$122,"M")</f>
        <v>0</v>
      </c>
      <c r="AG24" s="171">
        <f>COUNTIFS(SEGUIMIENTO!$H$23:$H$122,"NUI",SEGUIMIENTO!$J$23:$J$122,"F")</f>
        <v>0</v>
      </c>
      <c r="AH24" s="22"/>
      <c r="AI24" s="22"/>
      <c r="AJ24" s="169">
        <f>COUNTIFS(SEGUIMIENTO!$H$23:$H$122,"NUI",SEGUIMIENTO!K$23:K$122,"SI")</f>
        <v>0</v>
      </c>
      <c r="AK24" s="170">
        <f>COUNTIFS(SEGUIMIENTO!$H$23:$H$122,"NUI",SEGUIMIENTO!L$23:L$122,"SI")</f>
        <v>0</v>
      </c>
      <c r="AL24" s="170">
        <f>COUNTIFS(SEGUIMIENTO!$H$23:$H$122,"NUI",SEGUIMIENTO!M$23:M$122,"SI")</f>
        <v>0</v>
      </c>
      <c r="AM24" s="170">
        <f>COUNTIFS(SEGUIMIENTO!$H$23:$H$122,"NUI",SEGUIMIENTO!N$23:N$122,"SI")</f>
        <v>0</v>
      </c>
      <c r="AN24" s="170">
        <f>COUNTIFS(SEGUIMIENTO!$H$23:$H$122,"NUI",SEGUIMIENTO!O$23:O$122,"SI")</f>
        <v>0</v>
      </c>
      <c r="AO24" s="170">
        <f>COUNTIFS(SEGUIMIENTO!$H$23:$H$122,"NUI",SEGUIMIENTO!P$23:P$122,"SI")</f>
        <v>0</v>
      </c>
      <c r="AP24" s="170">
        <f>COUNTIFS(SEGUIMIENTO!$H$23:$H$122,"NUI",SEGUIMIENTO!Q$23:Q$122,"SI")</f>
        <v>0</v>
      </c>
      <c r="AQ24" s="170">
        <f>COUNTIFS(SEGUIMIENTO!$H$23:$H$122,"NUI",SEGUIMIENTO!R$23:R$122,"SI")</f>
        <v>0</v>
      </c>
      <c r="AR24" s="170">
        <f>COUNTIFS(SEGUIMIENTO!$H$23:$H$122,"NUI",SEGUIMIENTO!S$23:S$122,"SI")</f>
        <v>0</v>
      </c>
      <c r="AS24" s="170">
        <f>COUNTIFS(SEGUIMIENTO!$H$23:$H$122,"NUI",SEGUIMIENTO!T$23:T$122,"SI")</f>
        <v>0</v>
      </c>
      <c r="AT24" s="170">
        <f>COUNTIFS(SEGUIMIENTO!$H$23:$H$122,"NUI",SEGUIMIENTO!U$23:U$122,"SI")</f>
        <v>0</v>
      </c>
      <c r="AU24" s="170">
        <f>COUNTIFS(SEGUIMIENTO!$H$23:$H$122,"NUI",SEGUIMIENTO!V$23:V$122,"SI")</f>
        <v>0</v>
      </c>
      <c r="AV24" s="171">
        <f>COUNTIFS(SEGUIMIENTO!$H$23:$H$122,"NUI",SEGUIMIENTO!W$23:W$122,"SI")</f>
        <v>0</v>
      </c>
      <c r="AW24" s="22"/>
      <c r="AX24" s="22"/>
      <c r="AY24" s="192">
        <f>COUNTIFS(SEGUIMIENTO!$H$23:$H$122,"NUI",SEGUIMIENTO!$X$23:$X$122,"SI")</f>
        <v>0</v>
      </c>
      <c r="AZ24" s="9"/>
      <c r="BA24" s="169">
        <f>COUNTIFS(SEGUIMIENTO!$H$23:$H$122,"NUI",SEGUIMIENTO!$Y$23:$Y$122,"I-MB")</f>
        <v>0</v>
      </c>
      <c r="BB24" s="170">
        <f>COUNTIFS(SEGUIMIENTO!$H$23:$H$122,"NUI",SEGUIMIENTO!$Y$23:$Y$122,"I-U")</f>
        <v>0</v>
      </c>
      <c r="BC24" s="170">
        <f>COUNTIFS(SEGUIMIENTO!$H$23:$H$122,"NUI",SEGUIMIENTO!$Y$23:$Y$122,"I-I")</f>
        <v>0</v>
      </c>
      <c r="BD24" s="170">
        <f>COUNTIFS(SEGUIMIENTO!$H$23:$H$122,"NUI",SEGUIMIENTO!$Y$23:$Y$122,"I-K")</f>
        <v>0</v>
      </c>
      <c r="BE24" s="170">
        <f>COUNTIFS(SEGUIMIENTO!$H$23:$H$122,"NUI",SEGUIMIENTO!$Y$23:$Y$122,"I-FD")</f>
        <v>0</v>
      </c>
      <c r="BF24" s="170">
        <f>COUNTIFS(SEGUIMIENTO!$H$23:$H$122,"NUI",SEGUIMIENTO!$Y$23:$Y$122,"NARP")</f>
        <v>0</v>
      </c>
      <c r="BG24" s="170">
        <f>COUNTIFS(SEGUIMIENTO!$H$23:$H$122,"NUI",SEGUIMIENTO!$Y$23:$Y$122,"R")</f>
        <v>0</v>
      </c>
      <c r="BH24" s="171">
        <f>COUNTIFS(SEGUIMIENTO!$H$23:$H$122,"NUI",SEGUIMIENTO!$Y$23:$Y$122,"N/A")</f>
        <v>0</v>
      </c>
      <c r="BI24" s="22"/>
      <c r="BJ24" s="22"/>
      <c r="BK24" s="169">
        <f>COUNTIFS(SEGUIMIENTO!$H$23:$H$122,"NUI",SEGUIMIENTO!$AA$23:$AA$122,"JAC")</f>
        <v>0</v>
      </c>
      <c r="BL24" s="170">
        <f>COUNTIFS(SEGUIMIENTO!$H$23:$H$122,"NUI",SEGUIMIENTO!$AA$23:$AA$122,"JAL")</f>
        <v>0</v>
      </c>
      <c r="BM24" s="170">
        <f>COUNTIFS(SEGUIMIENTO!$H$23:$H$122,"NUI",SEGUIMIENTO!$AA$23:$AA$122,"AMB")</f>
        <v>0</v>
      </c>
      <c r="BN24" s="170">
        <f>COUNTIFS(SEGUIMIENTO!$H$23:$H$122,"NUI",SEGUIMIENTO!$AA$23:$AA$122,"DDHH")</f>
        <v>0</v>
      </c>
      <c r="BO24" s="170">
        <f>COUNTIFS(SEGUIMIENTO!$H$23:$H$122,"NUI",SEGUIMIENTO!$AA$23:$AA$122,"SIND")</f>
        <v>0</v>
      </c>
      <c r="BP24" s="170">
        <f>COUNTIFS(SEGUIMIENTO!$H$23:$H$122,"NUI",SEGUIMIENTO!$AA$23:$AA$122,"REL")</f>
        <v>0</v>
      </c>
      <c r="BQ24" s="170">
        <f>COUNTIFS(SEGUIMIENTO!$H$23:$H$122,"NUI",SEGUIMIENTO!$AA$23:$AA$122,"OTR")</f>
        <v>0</v>
      </c>
      <c r="BR24" s="171">
        <f>COUNTIFS(SEGUIMIENTO!$H$23:$H$122,"NUI",SEGUIMIENTO!$AA$23:$AA$122,"N/A")</f>
        <v>0</v>
      </c>
      <c r="BS24" s="22"/>
      <c r="BT24" s="22"/>
      <c r="BU24" s="169">
        <f>COUNTIFS(SEGUIMIENTO!$H$23:$H$122,"NUI",SEGUIMIENTO!$AB$23:$AB$122,"RUR")</f>
        <v>0</v>
      </c>
      <c r="BV24" s="171">
        <f>COUNTIFS(SEGUIMIENTO!$H$23:$H$122,"NUI",SEGUIMIENTO!$AB$23:$AB$122,"URB")</f>
        <v>0</v>
      </c>
      <c r="BW24" s="22"/>
      <c r="BX24" s="22"/>
      <c r="BY24" s="169">
        <f>COUNTIFS(SEGUIMIENTO!$H$23:$H$122,"NUI",SEGUIMIENTO!$AD$23:$AD$122,"1")</f>
        <v>0</v>
      </c>
      <c r="BZ24" s="170">
        <f>COUNTIFS(SEGUIMIENTO!$H$23:$H$122,"NUI",SEGUIMIENTO!$AD$23:$AD$122,"2")</f>
        <v>0</v>
      </c>
      <c r="CA24" s="170">
        <f>COUNTIFS(SEGUIMIENTO!$H$23:$H$122,"NUI",SEGUIMIENTO!$AD$23:$AD$122,"3")</f>
        <v>0</v>
      </c>
      <c r="CB24" s="170">
        <f>COUNTIFS(SEGUIMIENTO!$H$23:$H$122,"NUI",SEGUIMIENTO!$AD$23:$AD$122,"4")</f>
        <v>0</v>
      </c>
      <c r="CC24" s="170">
        <f>COUNTIFS(SEGUIMIENTO!$H$23:$H$122,"NUI",SEGUIMIENTO!$AD$23:$AD$122,"5")</f>
        <v>0</v>
      </c>
      <c r="CD24" s="170">
        <f>COUNTIFS(SEGUIMIENTO!$H$23:$H$122,"NUI",SEGUIMIENTO!$AD$23:$AD$122,"6")</f>
        <v>0</v>
      </c>
      <c r="CE24" s="170">
        <f>COUNTIFS(SEGUIMIENTO!$H$23:$H$122,"NUI",SEGUIMIENTO!$AD$23:$AD$122,"7")</f>
        <v>0</v>
      </c>
      <c r="CF24" s="170">
        <f>COUNTIFS(SEGUIMIENTO!$H$23:$H$122,"NUI",SEGUIMIENTO!$AD$23:$AD$122,"8")</f>
        <v>0</v>
      </c>
      <c r="CG24" s="171">
        <f>COUNTIFS(SEGUIMIENTO!$H$23:$H$122,"NUI",SEGUIMIENTO!$AD$23:$AD$122,"9")</f>
        <v>0</v>
      </c>
      <c r="CH24" s="22"/>
      <c r="CI24" s="22"/>
      <c r="CJ24" s="169">
        <f>COUNTIFS(SEGUIMIENTO!$H$23:$H$122,"NUI",SEGUIMIENTO!$Z$23:$Z$122,"1")</f>
        <v>0</v>
      </c>
      <c r="CK24" s="170">
        <f>COUNTIFS(SEGUIMIENTO!$H$23:$H$122,"NUI",SEGUIMIENTO!$Z$23:$Z$122,"2")</f>
        <v>0</v>
      </c>
      <c r="CL24" s="170">
        <f>COUNTIFS(SEGUIMIENTO!$H$23:$H$122,"NUI",SEGUIMIENTO!$Z$23:$Z$122,"3")</f>
        <v>0</v>
      </c>
      <c r="CM24" s="170">
        <f>COUNTIFS(SEGUIMIENTO!$H$23:$H$122,"NUI",SEGUIMIENTO!$Z$23:$Z$122,"4")</f>
        <v>0</v>
      </c>
      <c r="CN24" s="170">
        <f>COUNTIFS(SEGUIMIENTO!$H$23:$H$122,"NUI",SEGUIMIENTO!$Z$23:$Z$122,"5")</f>
        <v>0</v>
      </c>
      <c r="CO24" s="170">
        <f>COUNTIFS(SEGUIMIENTO!$H$23:$H$122,"NUI",SEGUIMIENTO!$Z$23:$Z$122,"6")</f>
        <v>0</v>
      </c>
      <c r="CP24" s="170">
        <f>COUNTIFS(SEGUIMIENTO!$H$23:$H$122,"NUI",SEGUIMIENTO!$Z$23:$Z$122,"7")</f>
        <v>0</v>
      </c>
      <c r="CQ24" s="170">
        <f>COUNTIFS(SEGUIMIENTO!$H$23:$H$122,"NUI",SEGUIMIENTO!$Z$23:$Z$122,"8")</f>
        <v>0</v>
      </c>
      <c r="CR24" s="170">
        <f>COUNTIFS(SEGUIMIENTO!$H$23:$H$122,"NUI",SEGUIMIENTO!$Z$23:$Z$122,"9")</f>
        <v>0</v>
      </c>
      <c r="CS24" s="170">
        <f>COUNTIFS(SEGUIMIENTO!$H$23:$H$122,"NUI",SEGUIMIENTO!$Z$23:$Z$122,"10")</f>
        <v>0</v>
      </c>
      <c r="CT24" s="170">
        <f>COUNTIFS(SEGUIMIENTO!$H$23:$H$122,"NUI",SEGUIMIENTO!$Z$23:$Z$122,"11")</f>
        <v>0</v>
      </c>
      <c r="CU24" s="170">
        <f>COUNTIFS(SEGUIMIENTO!$H$23:$H$122,"NUI",SEGUIMIENTO!$Z$23:$Z$122,"12")</f>
        <v>0</v>
      </c>
      <c r="CV24" s="170">
        <f>COUNTIFS(SEGUIMIENTO!$H$23:$H$122,"NUI",SEGUIMIENTO!$Z$23:$Z$122,"13")</f>
        <v>0</v>
      </c>
      <c r="CW24" s="170">
        <f>COUNTIFS(SEGUIMIENTO!$H$23:$H$122,"NUI",SEGUIMIENTO!$Z$23:$Z$122,"14")</f>
        <v>0</v>
      </c>
      <c r="CX24" s="170">
        <f>COUNTIFS(SEGUIMIENTO!$H$23:$H$122,"NUI",SEGUIMIENTO!$Z$23:$Z$122,"15")</f>
        <v>0</v>
      </c>
      <c r="CY24" s="170">
        <f>COUNTIFS(SEGUIMIENTO!$H$23:$H$122,"NUI",SEGUIMIENTO!$Z$23:$Z$122,"16")</f>
        <v>0</v>
      </c>
      <c r="CZ24" s="171">
        <f>COUNTIFS(SEGUIMIENTO!$H$23:$H$122,"NUI",SEGUIMIENTO!$Z$23:$Z$122,"N/A")</f>
        <v>0</v>
      </c>
      <c r="DA24" s="533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U24" s="35"/>
      <c r="DV24" s="35"/>
      <c r="DY24" s="34">
        <v>9</v>
      </c>
      <c r="DZ24" s="34"/>
      <c r="EA24" s="35"/>
      <c r="EC24" s="34">
        <v>9</v>
      </c>
      <c r="EJ24" s="5"/>
    </row>
    <row r="25" spans="2:140" s="11" customFormat="1" ht="12.45" customHeight="1" x14ac:dyDescent="0.2">
      <c r="B25" s="110"/>
      <c r="C25" s="310"/>
      <c r="D25" s="296" t="s">
        <v>33</v>
      </c>
      <c r="E25" s="304"/>
      <c r="F25" s="304"/>
      <c r="G25" s="304"/>
      <c r="H25" s="304"/>
      <c r="I25" s="304"/>
      <c r="J25" s="304"/>
      <c r="K25" s="304"/>
      <c r="L25" s="304"/>
      <c r="M25" s="151">
        <f>COUNTIF(SEGUIMIENTO!H23:H122,"RC")</f>
        <v>0</v>
      </c>
      <c r="N25" s="22"/>
      <c r="O25" s="182">
        <f>+X16</f>
        <v>0</v>
      </c>
      <c r="P25" s="150">
        <f>+X17</f>
        <v>0</v>
      </c>
      <c r="Q25" s="166">
        <f>+X18</f>
        <v>0</v>
      </c>
      <c r="R25" s="150">
        <f>+X19</f>
        <v>0</v>
      </c>
      <c r="S25" s="161">
        <f>+X20</f>
        <v>0</v>
      </c>
      <c r="T25" s="151">
        <f>+X21</f>
        <v>0</v>
      </c>
      <c r="U25" s="22"/>
      <c r="V25" s="22"/>
      <c r="W25" s="156"/>
      <c r="X25" s="156"/>
      <c r="Y25" s="156"/>
      <c r="Z25" s="156"/>
      <c r="AA25" s="156"/>
      <c r="AB25" s="156"/>
      <c r="AC25" s="156"/>
      <c r="AD25" s="22"/>
      <c r="AE25" s="22"/>
      <c r="AF25" s="15">
        <f>COUNTIFS(SEGUIMIENTO!$H$23:$H$122,"RC",SEGUIMIENTO!$J$23:$J$122,"M")</f>
        <v>0</v>
      </c>
      <c r="AG25" s="16">
        <f>COUNTIFS(SEGUIMIENTO!$H$23:$H$122,"RC",SEGUIMIENTO!$J$23:$J$122,"F")</f>
        <v>0</v>
      </c>
      <c r="AH25" s="22"/>
      <c r="AI25" s="22"/>
      <c r="AJ25" s="15">
        <f>COUNTIFS(SEGUIMIENTO!$H$23:$H$122,"RC",SEGUIMIENTO!K$23:K$122,"SI")</f>
        <v>0</v>
      </c>
      <c r="AK25" s="55">
        <f>COUNTIFS(SEGUIMIENTO!$H$23:$H$122,"RC",SEGUIMIENTO!L$23:L$122,"SI")</f>
        <v>0</v>
      </c>
      <c r="AL25" s="55">
        <f>COUNTIFS(SEGUIMIENTO!$H$23:$H$122,"RC",SEGUIMIENTO!M$23:M$122,"SI")</f>
        <v>0</v>
      </c>
      <c r="AM25" s="55">
        <f>COUNTIFS(SEGUIMIENTO!$H$23:$H$122,"RC",SEGUIMIENTO!N$23:N$122,"SI")</f>
        <v>0</v>
      </c>
      <c r="AN25" s="55">
        <f>COUNTIFS(SEGUIMIENTO!$H$23:$H$122,"RC",SEGUIMIENTO!O$23:O$122,"SI")</f>
        <v>0</v>
      </c>
      <c r="AO25" s="55">
        <f>COUNTIFS(SEGUIMIENTO!$H$23:$H$122,"RC",SEGUIMIENTO!P$23:P$122,"SI")</f>
        <v>0</v>
      </c>
      <c r="AP25" s="55">
        <f>COUNTIFS(SEGUIMIENTO!$H$23:$H$122,"RC",SEGUIMIENTO!Q$23:Q$122,"SI")</f>
        <v>0</v>
      </c>
      <c r="AQ25" s="55">
        <f>COUNTIFS(SEGUIMIENTO!$H$23:$H$122,"RC",SEGUIMIENTO!R$23:R$122,"SI")</f>
        <v>0</v>
      </c>
      <c r="AR25" s="55">
        <f>COUNTIFS(SEGUIMIENTO!$H$23:$H$122,"RC",SEGUIMIENTO!S$23:S$122,"SI")</f>
        <v>0</v>
      </c>
      <c r="AS25" s="55">
        <f>COUNTIFS(SEGUIMIENTO!$H$23:$H$122,"RC",SEGUIMIENTO!T$23:T$122,"SI")</f>
        <v>0</v>
      </c>
      <c r="AT25" s="55">
        <f>COUNTIFS(SEGUIMIENTO!$H$23:$H$122,"RC",SEGUIMIENTO!U$23:U$122,"SI")</f>
        <v>0</v>
      </c>
      <c r="AU25" s="55">
        <f>COUNTIFS(SEGUIMIENTO!$H$23:$H$122,"RC",SEGUIMIENTO!V$23:V$122,"SI")</f>
        <v>0</v>
      </c>
      <c r="AV25" s="16">
        <f>COUNTIFS(SEGUIMIENTO!$H$23:$H$122,"RC",SEGUIMIENTO!W$23:W$122,"SI")</f>
        <v>0</v>
      </c>
      <c r="AW25" s="22"/>
      <c r="AX25" s="22"/>
      <c r="AY25" s="17">
        <f>COUNTIFS(SEGUIMIENTO!$H$23:$H$122,"RC",SEGUIMIENTO!$X$23:$X$122,"SI")</f>
        <v>0</v>
      </c>
      <c r="AZ25" s="9"/>
      <c r="BA25" s="15">
        <f>COUNTIFS(SEGUIMIENTO!$H$23:$H$122,"RC",SEGUIMIENTO!$Y$23:$Y$122,"I-MB")</f>
        <v>0</v>
      </c>
      <c r="BB25" s="55">
        <f>COUNTIFS(SEGUIMIENTO!$H$23:$H$122,"RC",SEGUIMIENTO!$Y$23:$Y$122,"I-U")</f>
        <v>0</v>
      </c>
      <c r="BC25" s="55">
        <f>COUNTIFS(SEGUIMIENTO!$H$23:$H$122,"RC",SEGUIMIENTO!$Y$23:$Y$122,"I-I")</f>
        <v>0</v>
      </c>
      <c r="BD25" s="55">
        <f>COUNTIFS(SEGUIMIENTO!$H$23:$H$122,"RC",SEGUIMIENTO!$Y$23:$Y$122,"I-K")</f>
        <v>0</v>
      </c>
      <c r="BE25" s="55">
        <f>COUNTIFS(SEGUIMIENTO!$H$23:$H$122,"RC",SEGUIMIENTO!$Y$23:$Y$122,"I-FD")</f>
        <v>0</v>
      </c>
      <c r="BF25" s="55">
        <f>COUNTIFS(SEGUIMIENTO!$H$23:$H$122,"RC",SEGUIMIENTO!$Y$23:$Y$122,"NARP")</f>
        <v>0</v>
      </c>
      <c r="BG25" s="55">
        <f>COUNTIFS(SEGUIMIENTO!$H$23:$H$122,"RC",SEGUIMIENTO!$Y$23:$Y$122,"R")</f>
        <v>0</v>
      </c>
      <c r="BH25" s="16">
        <f>COUNTIFS(SEGUIMIENTO!$H$23:$H$122,"RC",SEGUIMIENTO!$Y$23:$Y$122,"N/A")</f>
        <v>0</v>
      </c>
      <c r="BI25" s="22"/>
      <c r="BJ25" s="22"/>
      <c r="BK25" s="15">
        <f>COUNTIFS(SEGUIMIENTO!$H$23:$H$122,"RC",SEGUIMIENTO!$AA$23:$AA$122,"JAC")</f>
        <v>0</v>
      </c>
      <c r="BL25" s="55">
        <f>COUNTIFS(SEGUIMIENTO!$H$23:$H$122,"RC",SEGUIMIENTO!$AA$23:$AA$122,"JAL")</f>
        <v>0</v>
      </c>
      <c r="BM25" s="55">
        <f>COUNTIFS(SEGUIMIENTO!$H$23:$H$122,"RC",SEGUIMIENTO!$AA$23:$AA$122,"AMB")</f>
        <v>0</v>
      </c>
      <c r="BN25" s="55">
        <f>COUNTIFS(SEGUIMIENTO!$H$23:$H$122,"RC",SEGUIMIENTO!$AA$23:$AA$122,"DDHH")</f>
        <v>0</v>
      </c>
      <c r="BO25" s="55">
        <f>COUNTIFS(SEGUIMIENTO!$H$23:$H$122,"RC",SEGUIMIENTO!$AA$23:$AA$122,"SIND")</f>
        <v>0</v>
      </c>
      <c r="BP25" s="55">
        <f>COUNTIFS(SEGUIMIENTO!$H$23:$H$122,"RC",SEGUIMIENTO!$AA$23:$AA$122,"REL")</f>
        <v>0</v>
      </c>
      <c r="BQ25" s="55">
        <f>COUNTIFS(SEGUIMIENTO!$H$23:$H$122,"RC",SEGUIMIENTO!$AA$23:$AA$122,"OTR")</f>
        <v>0</v>
      </c>
      <c r="BR25" s="16">
        <f>COUNTIFS(SEGUIMIENTO!$H$23:$H$122,"RC",SEGUIMIENTO!$AA$23:$AA$122,"N/A")</f>
        <v>0</v>
      </c>
      <c r="BS25" s="22"/>
      <c r="BT25" s="22"/>
      <c r="BU25" s="15">
        <f>COUNTIFS(SEGUIMIENTO!$H$23:$H$122,"RC",SEGUIMIENTO!$AB$23:$AB$122,"RUR")</f>
        <v>0</v>
      </c>
      <c r="BV25" s="16">
        <f>COUNTIFS(SEGUIMIENTO!$H$23:$H$122,"RC",SEGUIMIENTO!$AB$23:$AB$122,"URB")</f>
        <v>0</v>
      </c>
      <c r="BW25" s="22"/>
      <c r="BX25" s="22"/>
      <c r="BY25" s="15">
        <f>COUNTIFS(SEGUIMIENTO!$H$23:$H$122,"RC",SEGUIMIENTO!$AD$23:$AD$122,"1")</f>
        <v>0</v>
      </c>
      <c r="BZ25" s="55">
        <f>COUNTIFS(SEGUIMIENTO!$H$23:$H$122,"RC",SEGUIMIENTO!$AD$23:$AD$122,"2")</f>
        <v>0</v>
      </c>
      <c r="CA25" s="55">
        <f>COUNTIFS(SEGUIMIENTO!$H$23:$H$122,"RC",SEGUIMIENTO!$AD$23:$AD$122,"3")</f>
        <v>0</v>
      </c>
      <c r="CB25" s="55">
        <f>COUNTIFS(SEGUIMIENTO!$H$23:$H$122,"RC",SEGUIMIENTO!$AD$23:$AD$122,"4")</f>
        <v>0</v>
      </c>
      <c r="CC25" s="55">
        <f>COUNTIFS(SEGUIMIENTO!$H$23:$H$122,"RC",SEGUIMIENTO!$AD$23:$AD$122,"5")</f>
        <v>0</v>
      </c>
      <c r="CD25" s="55">
        <f>COUNTIFS(SEGUIMIENTO!$H$23:$H$122,"RC",SEGUIMIENTO!$AD$23:$AD$122,"6")</f>
        <v>0</v>
      </c>
      <c r="CE25" s="55">
        <f>COUNTIFS(SEGUIMIENTO!$H$23:$H$122,"RC",SEGUIMIENTO!$AD$23:$AD$122,"7")</f>
        <v>0</v>
      </c>
      <c r="CF25" s="55">
        <f>COUNTIFS(SEGUIMIENTO!$H$23:$H$122,"RC",SEGUIMIENTO!$AD$23:$AD$122,"8")</f>
        <v>0</v>
      </c>
      <c r="CG25" s="16">
        <f>COUNTIFS(SEGUIMIENTO!$H$23:$H$122,"RC",SEGUIMIENTO!$AD$23:$AD$122,"9")</f>
        <v>0</v>
      </c>
      <c r="CH25" s="22"/>
      <c r="CI25" s="22"/>
      <c r="CJ25" s="15">
        <f>COUNTIFS(SEGUIMIENTO!$H$23:$H$122,"RC",SEGUIMIENTO!$Z$23:$Z$122,"1")</f>
        <v>0</v>
      </c>
      <c r="CK25" s="55">
        <f>COUNTIFS(SEGUIMIENTO!$H$23:$H$122,"RC",SEGUIMIENTO!$Z$23:$Z$122,"2")</f>
        <v>0</v>
      </c>
      <c r="CL25" s="55">
        <f>COUNTIFS(SEGUIMIENTO!$H$23:$H$122,"RC",SEGUIMIENTO!$Z$23:$Z$122,"3")</f>
        <v>0</v>
      </c>
      <c r="CM25" s="55">
        <f>COUNTIFS(SEGUIMIENTO!$H$23:$H$122,"RC",SEGUIMIENTO!$Z$23:$Z$122,"4")</f>
        <v>0</v>
      </c>
      <c r="CN25" s="55">
        <f>COUNTIFS(SEGUIMIENTO!$H$23:$H$122,"RC",SEGUIMIENTO!$Z$23:$Z$122,"5")</f>
        <v>0</v>
      </c>
      <c r="CO25" s="55">
        <f>COUNTIFS(SEGUIMIENTO!$H$23:$H$122,"RC",SEGUIMIENTO!$Z$23:$Z$122,"6")</f>
        <v>0</v>
      </c>
      <c r="CP25" s="55">
        <f>COUNTIFS(SEGUIMIENTO!$H$23:$H$122,"RC",SEGUIMIENTO!$Z$23:$Z$122,"7")</f>
        <v>0</v>
      </c>
      <c r="CQ25" s="55">
        <f>COUNTIFS(SEGUIMIENTO!$H$23:$H$122,"RC",SEGUIMIENTO!$Z$23:$Z$122,"8")</f>
        <v>0</v>
      </c>
      <c r="CR25" s="55">
        <f>COUNTIFS(SEGUIMIENTO!$H$23:$H$122,"RC",SEGUIMIENTO!$Z$23:$Z$122,"9")</f>
        <v>0</v>
      </c>
      <c r="CS25" s="55">
        <f>COUNTIFS(SEGUIMIENTO!$H$23:$H$122,"RC",SEGUIMIENTO!$Z$23:$Z$122,"10")</f>
        <v>0</v>
      </c>
      <c r="CT25" s="55">
        <f>COUNTIFS(SEGUIMIENTO!$H$23:$H$122,"RC",SEGUIMIENTO!$Z$23:$Z$122,"11")</f>
        <v>0</v>
      </c>
      <c r="CU25" s="55">
        <f>COUNTIFS(SEGUIMIENTO!$H$23:$H$122,"RC",SEGUIMIENTO!$Z$23:$Z$122,"12")</f>
        <v>0</v>
      </c>
      <c r="CV25" s="55">
        <f>COUNTIFS(SEGUIMIENTO!$H$23:$H$122,"RC",SEGUIMIENTO!$Z$23:$Z$122,"13")</f>
        <v>0</v>
      </c>
      <c r="CW25" s="55">
        <f>COUNTIFS(SEGUIMIENTO!$H$23:$H$122,"RC",SEGUIMIENTO!$Z$23:$Z$122,"14")</f>
        <v>0</v>
      </c>
      <c r="CX25" s="55">
        <f>COUNTIFS(SEGUIMIENTO!$H$23:$H$122,"RC",SEGUIMIENTO!$Z$23:$Z$122,"15")</f>
        <v>0</v>
      </c>
      <c r="CY25" s="55">
        <f>COUNTIFS(SEGUIMIENTO!$H$23:$H$122,"RC",SEGUIMIENTO!$Z$23:$Z$122,"16")</f>
        <v>0</v>
      </c>
      <c r="CZ25" s="16">
        <f>COUNTIFS(SEGUIMIENTO!$H$23:$H$122,"RC",SEGUIMIENTO!$Z$23:$Z$122,"N/A")</f>
        <v>0</v>
      </c>
      <c r="DA25" s="533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87"/>
      <c r="DQ25" s="5"/>
      <c r="DR25" s="5"/>
      <c r="DS25" s="5"/>
      <c r="DU25" s="35"/>
      <c r="DV25" s="35"/>
      <c r="DY25" s="34">
        <v>10</v>
      </c>
      <c r="DZ25" s="34"/>
      <c r="EC25" s="31"/>
      <c r="ED25" s="31"/>
      <c r="EJ25" s="285"/>
    </row>
    <row r="26" spans="2:140" s="11" customFormat="1" ht="12.45" customHeight="1" x14ac:dyDescent="0.2">
      <c r="B26" s="110"/>
      <c r="C26" s="310"/>
      <c r="D26" s="297" t="s">
        <v>34</v>
      </c>
      <c r="E26" s="305"/>
      <c r="F26" s="305"/>
      <c r="G26" s="305"/>
      <c r="H26" s="305"/>
      <c r="I26" s="305"/>
      <c r="J26" s="305"/>
      <c r="K26" s="305"/>
      <c r="L26" s="305"/>
      <c r="M26" s="165">
        <f>COUNTIF(SEGUIMIENTO!H23:H122,"TI")</f>
        <v>0</v>
      </c>
      <c r="N26" s="22"/>
      <c r="O26" s="182">
        <f>+Y16</f>
        <v>0</v>
      </c>
      <c r="P26" s="150">
        <f>+Y17</f>
        <v>0</v>
      </c>
      <c r="Q26" s="166">
        <f>+Y18</f>
        <v>0</v>
      </c>
      <c r="R26" s="150">
        <f>+Y19</f>
        <v>0</v>
      </c>
      <c r="S26" s="161">
        <f>+Y20</f>
        <v>0</v>
      </c>
      <c r="T26" s="151">
        <f>+Y21</f>
        <v>0</v>
      </c>
      <c r="U26" s="22"/>
      <c r="V26" s="22"/>
      <c r="W26" s="156"/>
      <c r="X26" s="156"/>
      <c r="Y26" s="156"/>
      <c r="Z26" s="156"/>
      <c r="AA26" s="156"/>
      <c r="AB26" s="156"/>
      <c r="AC26" s="156"/>
      <c r="AD26" s="22"/>
      <c r="AE26" s="22"/>
      <c r="AF26" s="164">
        <f>COUNTIFS(SEGUIMIENTO!$H$23:$H$122,"TI",SEGUIMIENTO!$J$23:$J$122,"M")</f>
        <v>0</v>
      </c>
      <c r="AG26" s="165">
        <f>COUNTIFS(SEGUIMIENTO!$H$23:$H$122,"TI",SEGUIMIENTO!$J$23:$J$122,"F")</f>
        <v>0</v>
      </c>
      <c r="AH26" s="22"/>
      <c r="AI26" s="22"/>
      <c r="AJ26" s="164">
        <f>COUNTIFS(SEGUIMIENTO!$H$23:$H$122,"TI",SEGUIMIENTO!K$23:K$122,"SI")</f>
        <v>0</v>
      </c>
      <c r="AK26" s="166">
        <f>COUNTIFS(SEGUIMIENTO!$H$23:$H$122,"TI",SEGUIMIENTO!L$23:L$122,"SI")</f>
        <v>0</v>
      </c>
      <c r="AL26" s="166">
        <f>COUNTIFS(SEGUIMIENTO!$H$23:$H$122,"TI",SEGUIMIENTO!M$23:M$122,"SI")</f>
        <v>0</v>
      </c>
      <c r="AM26" s="166">
        <f>COUNTIFS(SEGUIMIENTO!$H$23:$H$122,"TI",SEGUIMIENTO!N$23:N$122,"SI")</f>
        <v>0</v>
      </c>
      <c r="AN26" s="166">
        <f>COUNTIFS(SEGUIMIENTO!$H$23:$H$122,"TI",SEGUIMIENTO!O$23:O$122,"SI")</f>
        <v>0</v>
      </c>
      <c r="AO26" s="166">
        <f>COUNTIFS(SEGUIMIENTO!$H$23:$H$122,"TI",SEGUIMIENTO!P$23:P$122,"SI")</f>
        <v>0</v>
      </c>
      <c r="AP26" s="166">
        <f>COUNTIFS(SEGUIMIENTO!$H$23:$H$122,"TI",SEGUIMIENTO!Q$23:Q$122,"SI")</f>
        <v>0</v>
      </c>
      <c r="AQ26" s="166">
        <f>COUNTIFS(SEGUIMIENTO!$H$23:$H$122,"TI",SEGUIMIENTO!R$23:R$122,"SI")</f>
        <v>0</v>
      </c>
      <c r="AR26" s="166">
        <f>COUNTIFS(SEGUIMIENTO!$H$23:$H$122,"TI",SEGUIMIENTO!S$23:S$122,"SI")</f>
        <v>0</v>
      </c>
      <c r="AS26" s="166">
        <f>COUNTIFS(SEGUIMIENTO!$H$23:$H$122,"TI",SEGUIMIENTO!T$23:T$122,"SI")</f>
        <v>0</v>
      </c>
      <c r="AT26" s="166">
        <f>COUNTIFS(SEGUIMIENTO!$H$23:$H$122,"TI",SEGUIMIENTO!U$23:U$122,"SI")</f>
        <v>0</v>
      </c>
      <c r="AU26" s="166">
        <f>COUNTIFS(SEGUIMIENTO!$H$23:$H$122,"TI",SEGUIMIENTO!V$23:V$122,"SI")</f>
        <v>0</v>
      </c>
      <c r="AV26" s="165">
        <f>COUNTIFS(SEGUIMIENTO!$H$23:$H$122,"TI",SEGUIMIENTO!W$23:W$122,"SI")</f>
        <v>0</v>
      </c>
      <c r="AW26" s="22"/>
      <c r="AX26" s="22"/>
      <c r="AY26" s="195">
        <f>COUNTIFS(SEGUIMIENTO!$H$23:$H$122,"TI",SEGUIMIENTO!$X$23:$X$122,"SI")</f>
        <v>0</v>
      </c>
      <c r="AZ26" s="9"/>
      <c r="BA26" s="164">
        <f>COUNTIFS(SEGUIMIENTO!$H$23:$H$122,"TI",SEGUIMIENTO!$Y$23:$Y$122,"I-MB")</f>
        <v>0</v>
      </c>
      <c r="BB26" s="166">
        <f>COUNTIFS(SEGUIMIENTO!$H$23:$H$122,"TI",SEGUIMIENTO!$Y$23:$Y$122,"I-U")</f>
        <v>0</v>
      </c>
      <c r="BC26" s="166">
        <f>COUNTIFS(SEGUIMIENTO!$H$23:$H$122,"TI",SEGUIMIENTO!$Y$23:$Y$122,"I-I")</f>
        <v>0</v>
      </c>
      <c r="BD26" s="166">
        <f>COUNTIFS(SEGUIMIENTO!$H$23:$H$122,"TI",SEGUIMIENTO!$Y$23:$Y$122,"I-K")</f>
        <v>0</v>
      </c>
      <c r="BE26" s="166">
        <f>COUNTIFS(SEGUIMIENTO!$H$23:$H$122,"TI",SEGUIMIENTO!$Y$23:$Y$122,"I-FD")</f>
        <v>0</v>
      </c>
      <c r="BF26" s="166">
        <f>COUNTIFS(SEGUIMIENTO!$H$23:$H$122,"TI",SEGUIMIENTO!$Y$23:$Y$122,"NARP")</f>
        <v>0</v>
      </c>
      <c r="BG26" s="166">
        <f>COUNTIFS(SEGUIMIENTO!$H$23:$H$122,"TI",SEGUIMIENTO!$Y$23:$Y$122,"R")</f>
        <v>0</v>
      </c>
      <c r="BH26" s="165">
        <f>COUNTIFS(SEGUIMIENTO!$H$23:$H$122,"TI",SEGUIMIENTO!$Y$23:$Y$122,"N/A")</f>
        <v>0</v>
      </c>
      <c r="BI26" s="22"/>
      <c r="BJ26" s="22"/>
      <c r="BK26" s="164">
        <f>COUNTIFS(SEGUIMIENTO!$H$23:$H$122,"TI",SEGUIMIENTO!$AA$23:$AA$122,"JAC")</f>
        <v>0</v>
      </c>
      <c r="BL26" s="166">
        <f>COUNTIFS(SEGUIMIENTO!$H$23:$H$122,"TI",SEGUIMIENTO!$AA$23:$AA$122,"JAL")</f>
        <v>0</v>
      </c>
      <c r="BM26" s="166">
        <f>COUNTIFS(SEGUIMIENTO!$H$23:$H$122,"TI",SEGUIMIENTO!$AA$23:$AA$122,"AMB")</f>
        <v>0</v>
      </c>
      <c r="BN26" s="166">
        <f>COUNTIFS(SEGUIMIENTO!$H$23:$H$122,"TI",SEGUIMIENTO!$AA$23:$AA$122,"DDHH")</f>
        <v>0</v>
      </c>
      <c r="BO26" s="166">
        <f>COUNTIFS(SEGUIMIENTO!$H$23:$H$122,"TI",SEGUIMIENTO!$AA$23:$AA$122,"SIND")</f>
        <v>0</v>
      </c>
      <c r="BP26" s="166">
        <f>COUNTIFS(SEGUIMIENTO!$H$23:$H$122,"TI",SEGUIMIENTO!$AA$23:$AA$122,"REL")</f>
        <v>0</v>
      </c>
      <c r="BQ26" s="166">
        <f>COUNTIFS(SEGUIMIENTO!$H$23:$H$122,"TI",SEGUIMIENTO!$AA$23:$AA$122,"OTR")</f>
        <v>0</v>
      </c>
      <c r="BR26" s="165">
        <f>COUNTIFS(SEGUIMIENTO!$H$23:$H$122,"TI",SEGUIMIENTO!$AA$23:$AA$122,"N/A")</f>
        <v>0</v>
      </c>
      <c r="BS26" s="22"/>
      <c r="BT26" s="22"/>
      <c r="BU26" s="164">
        <f>COUNTIFS(SEGUIMIENTO!$H$23:$H$122,"TI",SEGUIMIENTO!$AB$23:$AB$122,"RUR")</f>
        <v>0</v>
      </c>
      <c r="BV26" s="165">
        <f>COUNTIFS(SEGUIMIENTO!$H$23:$H$122,"TI",SEGUIMIENTO!$AB$23:$AB$122,"URB")</f>
        <v>0</v>
      </c>
      <c r="BW26" s="22"/>
      <c r="BX26" s="22"/>
      <c r="BY26" s="164">
        <f>COUNTIFS(SEGUIMIENTO!$H$23:$H$122,"TI",SEGUIMIENTO!$AD$23:$AD$122,"1")</f>
        <v>0</v>
      </c>
      <c r="BZ26" s="166">
        <f>COUNTIFS(SEGUIMIENTO!$H$23:$H$122,"TI",SEGUIMIENTO!$AD$23:$AD$122,"2")</f>
        <v>0</v>
      </c>
      <c r="CA26" s="166">
        <f>COUNTIFS(SEGUIMIENTO!$H$23:$H$122,"TI",SEGUIMIENTO!$AD$23:$AD$122,"3")</f>
        <v>0</v>
      </c>
      <c r="CB26" s="166">
        <f>COUNTIFS(SEGUIMIENTO!$H$23:$H$122,"TI",SEGUIMIENTO!$AD$23:$AD$122,"4")</f>
        <v>0</v>
      </c>
      <c r="CC26" s="166">
        <f>COUNTIFS(SEGUIMIENTO!$H$23:$H$122,"TI",SEGUIMIENTO!$AD$23:$AD$122,"5")</f>
        <v>0</v>
      </c>
      <c r="CD26" s="166">
        <f>COUNTIFS(SEGUIMIENTO!$H$23:$H$122,"TI",SEGUIMIENTO!$AD$23:$AD$122,"6")</f>
        <v>0</v>
      </c>
      <c r="CE26" s="166">
        <f>COUNTIFS(SEGUIMIENTO!$H$23:$H$122,"TI",SEGUIMIENTO!$AD$23:$AD$122,"7")</f>
        <v>0</v>
      </c>
      <c r="CF26" s="166">
        <f>COUNTIFS(SEGUIMIENTO!$H$23:$H$122,"TI",SEGUIMIENTO!$AD$23:$AD$122,"8")</f>
        <v>0</v>
      </c>
      <c r="CG26" s="165">
        <f>COUNTIFS(SEGUIMIENTO!$H$23:$H$122,"TI",SEGUIMIENTO!$AD$23:$AD$122,"9")</f>
        <v>0</v>
      </c>
      <c r="CH26" s="22"/>
      <c r="CI26" s="22"/>
      <c r="CJ26" s="164">
        <f>COUNTIFS(SEGUIMIENTO!$H$23:$H$122,"TI",SEGUIMIENTO!$Z$23:$Z$122,"1")</f>
        <v>0</v>
      </c>
      <c r="CK26" s="166">
        <f>COUNTIFS(SEGUIMIENTO!$H$23:$H$122,"TI",SEGUIMIENTO!$Z$23:$Z$122,"2")</f>
        <v>0</v>
      </c>
      <c r="CL26" s="166">
        <f>COUNTIFS(SEGUIMIENTO!$H$23:$H$122,"TI",SEGUIMIENTO!$Z$23:$Z$122,"3")</f>
        <v>0</v>
      </c>
      <c r="CM26" s="166">
        <f>COUNTIFS(SEGUIMIENTO!$H$23:$H$122,"TI",SEGUIMIENTO!$Z$23:$Z$122,"4")</f>
        <v>0</v>
      </c>
      <c r="CN26" s="166">
        <f>COUNTIFS(SEGUIMIENTO!$H$23:$H$122,"TI",SEGUIMIENTO!$Z$23:$Z$122,"5")</f>
        <v>0</v>
      </c>
      <c r="CO26" s="166">
        <f>COUNTIFS(SEGUIMIENTO!$H$23:$H$122,"TI",SEGUIMIENTO!$Z$23:$Z$122,"6")</f>
        <v>0</v>
      </c>
      <c r="CP26" s="166">
        <f>COUNTIFS(SEGUIMIENTO!$H$23:$H$122,"TI",SEGUIMIENTO!$Z$23:$Z$122,"7")</f>
        <v>0</v>
      </c>
      <c r="CQ26" s="166">
        <f>COUNTIFS(SEGUIMIENTO!$H$23:$H$122,"TI",SEGUIMIENTO!$Z$23:$Z$122,"8")</f>
        <v>0</v>
      </c>
      <c r="CR26" s="166">
        <f>COUNTIFS(SEGUIMIENTO!$H$23:$H$122,"TI",SEGUIMIENTO!$Z$23:$Z$122,"9")</f>
        <v>0</v>
      </c>
      <c r="CS26" s="166">
        <f>COUNTIFS(SEGUIMIENTO!$H$23:$H$122,"TI",SEGUIMIENTO!$Z$23:$Z$122,"10")</f>
        <v>0</v>
      </c>
      <c r="CT26" s="166">
        <f>COUNTIFS(SEGUIMIENTO!$H$23:$H$122,"TI",SEGUIMIENTO!$Z$23:$Z$122,"11")</f>
        <v>0</v>
      </c>
      <c r="CU26" s="166">
        <f>COUNTIFS(SEGUIMIENTO!$H$23:$H$122,"TI",SEGUIMIENTO!$Z$23:$Z$122,"12")</f>
        <v>0</v>
      </c>
      <c r="CV26" s="166">
        <f>COUNTIFS(SEGUIMIENTO!$H$23:$H$122,"TI",SEGUIMIENTO!$Z$23:$Z$122,"13")</f>
        <v>0</v>
      </c>
      <c r="CW26" s="166">
        <f>COUNTIFS(SEGUIMIENTO!$H$23:$H$122,"TI",SEGUIMIENTO!$Z$23:$Z$122,"14")</f>
        <v>0</v>
      </c>
      <c r="CX26" s="166">
        <f>COUNTIFS(SEGUIMIENTO!$H$23:$H$122,"TI",SEGUIMIENTO!$Z$23:$Z$122,"15")</f>
        <v>0</v>
      </c>
      <c r="CY26" s="166">
        <f>COUNTIFS(SEGUIMIENTO!$H$23:$H$122,"TI",SEGUIMIENTO!$Z$23:$Z$122,"16")</f>
        <v>0</v>
      </c>
      <c r="CZ26" s="165">
        <f>COUNTIFS(SEGUIMIENTO!$H$23:$H$122,"TI",SEGUIMIENTO!$Z$23:$Z$122,"N/A")</f>
        <v>0</v>
      </c>
      <c r="DA26" s="533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87"/>
      <c r="DQ26" s="5"/>
      <c r="DR26" s="5"/>
      <c r="DS26" s="5"/>
      <c r="DU26" s="35"/>
      <c r="DV26" s="35"/>
      <c r="DY26" s="34">
        <v>11</v>
      </c>
      <c r="DZ26" s="34"/>
      <c r="EC26" s="31"/>
      <c r="ED26" s="31"/>
      <c r="EJ26" s="285"/>
    </row>
    <row r="27" spans="2:140" s="11" customFormat="1" ht="12.45" customHeight="1" x14ac:dyDescent="0.2">
      <c r="B27" s="110"/>
      <c r="C27" s="310"/>
      <c r="D27" s="296" t="s">
        <v>35</v>
      </c>
      <c r="E27" s="304"/>
      <c r="F27" s="304"/>
      <c r="G27" s="304"/>
      <c r="H27" s="304"/>
      <c r="I27" s="304"/>
      <c r="J27" s="304"/>
      <c r="K27" s="304"/>
      <c r="L27" s="304"/>
      <c r="M27" s="151">
        <f>COUNTIF(SEGUIMIENTO!H23:H122,"CC")</f>
        <v>0</v>
      </c>
      <c r="N27" s="22"/>
      <c r="O27" s="182">
        <f>+Z16</f>
        <v>0</v>
      </c>
      <c r="P27" s="150">
        <f>+Z17</f>
        <v>0</v>
      </c>
      <c r="Q27" s="166">
        <f>+Z18</f>
        <v>0</v>
      </c>
      <c r="R27" s="150">
        <f>+Z19</f>
        <v>0</v>
      </c>
      <c r="S27" s="161">
        <f>+Z20</f>
        <v>0</v>
      </c>
      <c r="T27" s="151">
        <f>+Z21</f>
        <v>0</v>
      </c>
      <c r="U27" s="22"/>
      <c r="V27" s="22"/>
      <c r="W27" s="156"/>
      <c r="X27" s="156"/>
      <c r="Y27" s="156"/>
      <c r="Z27" s="156"/>
      <c r="AA27" s="156"/>
      <c r="AB27" s="156"/>
      <c r="AC27" s="156"/>
      <c r="AD27" s="22"/>
      <c r="AE27" s="22"/>
      <c r="AF27" s="15">
        <f>COUNTIFS(SEGUIMIENTO!$H$23:$H$122,"CC",SEGUIMIENTO!$J$23:$J$122,"M")</f>
        <v>0</v>
      </c>
      <c r="AG27" s="16">
        <f>COUNTIFS(SEGUIMIENTO!$H$23:$H$122,"CC",SEGUIMIENTO!$J$23:$J$122,"F")</f>
        <v>0</v>
      </c>
      <c r="AH27" s="22"/>
      <c r="AI27" s="22"/>
      <c r="AJ27" s="15">
        <f>COUNTIFS(SEGUIMIENTO!$H$23:$H$122,"CC",SEGUIMIENTO!K$23:K$122,"SI")</f>
        <v>0</v>
      </c>
      <c r="AK27" s="55">
        <f>COUNTIFS(SEGUIMIENTO!$H$23:$H$122,"CC",SEGUIMIENTO!L$23:L$122,"SI")</f>
        <v>0</v>
      </c>
      <c r="AL27" s="55">
        <f>COUNTIFS(SEGUIMIENTO!$H$23:$H$122,"CC",SEGUIMIENTO!M$23:M$122,"SI")</f>
        <v>0</v>
      </c>
      <c r="AM27" s="55">
        <f>COUNTIFS(SEGUIMIENTO!$H$23:$H$122,"CC",SEGUIMIENTO!N$23:N$122,"SI")</f>
        <v>0</v>
      </c>
      <c r="AN27" s="55">
        <f>COUNTIFS(SEGUIMIENTO!$H$23:$H$122,"CC",SEGUIMIENTO!O$23:O$122,"SI")</f>
        <v>0</v>
      </c>
      <c r="AO27" s="55">
        <f>COUNTIFS(SEGUIMIENTO!$H$23:$H$122,"CC",SEGUIMIENTO!P$23:P$122,"SI")</f>
        <v>0</v>
      </c>
      <c r="AP27" s="55">
        <f>COUNTIFS(SEGUIMIENTO!$H$23:$H$122,"CC",SEGUIMIENTO!Q$23:Q$122,"SI")</f>
        <v>0</v>
      </c>
      <c r="AQ27" s="55">
        <f>COUNTIFS(SEGUIMIENTO!$H$23:$H$122,"CC",SEGUIMIENTO!R$23:R$122,"SI")</f>
        <v>0</v>
      </c>
      <c r="AR27" s="55">
        <f>COUNTIFS(SEGUIMIENTO!$H$23:$H$122,"CC",SEGUIMIENTO!S$23:S$122,"SI")</f>
        <v>0</v>
      </c>
      <c r="AS27" s="55">
        <f>COUNTIFS(SEGUIMIENTO!$H$23:$H$122,"CC",SEGUIMIENTO!T$23:T$122,"SI")</f>
        <v>0</v>
      </c>
      <c r="AT27" s="55">
        <f>COUNTIFS(SEGUIMIENTO!$H$23:$H$122,"CC",SEGUIMIENTO!U$23:U$122,"SI")</f>
        <v>0</v>
      </c>
      <c r="AU27" s="55">
        <f>COUNTIFS(SEGUIMIENTO!$H$23:$H$122,"CC",SEGUIMIENTO!V$23:V$122,"SI")</f>
        <v>0</v>
      </c>
      <c r="AV27" s="16">
        <f>COUNTIFS(SEGUIMIENTO!$H$23:$H$122,"CC",SEGUIMIENTO!W$23:W$122,"SI")</f>
        <v>0</v>
      </c>
      <c r="AW27" s="22"/>
      <c r="AX27" s="22"/>
      <c r="AY27" s="17">
        <f>COUNTIFS(SEGUIMIENTO!$H$23:$H$122,"CC",SEGUIMIENTO!$X$23:$X$122,"SI")</f>
        <v>0</v>
      </c>
      <c r="AZ27" s="9"/>
      <c r="BA27" s="15">
        <f>COUNTIFS(SEGUIMIENTO!$H$23:$H$122,"CC",SEGUIMIENTO!$Y$23:$Y$122,"I-MB")</f>
        <v>0</v>
      </c>
      <c r="BB27" s="55">
        <f>COUNTIFS(SEGUIMIENTO!$H$23:$H$122,"CC",SEGUIMIENTO!$Y$23:$Y$122,"I-U")</f>
        <v>0</v>
      </c>
      <c r="BC27" s="55">
        <f>COUNTIFS(SEGUIMIENTO!$H$23:$H$122,"CC",SEGUIMIENTO!$Y$23:$Y$122,"I-I")</f>
        <v>0</v>
      </c>
      <c r="BD27" s="55">
        <f>COUNTIFS(SEGUIMIENTO!$H$23:$H$122,"CC",SEGUIMIENTO!$Y$23:$Y$122,"I-K")</f>
        <v>0</v>
      </c>
      <c r="BE27" s="55">
        <f>COUNTIFS(SEGUIMIENTO!$H$23:$H$122,"CC",SEGUIMIENTO!$Y$23:$Y$122,"I-FD")</f>
        <v>0</v>
      </c>
      <c r="BF27" s="55">
        <f>COUNTIFS(SEGUIMIENTO!$H$23:$H$122,"CC",SEGUIMIENTO!$Y$23:$Y$122,"NARP")</f>
        <v>0</v>
      </c>
      <c r="BG27" s="55">
        <f>COUNTIFS(SEGUIMIENTO!$H$23:$H$122,"CC",SEGUIMIENTO!$Y$23:$Y$122,"R")</f>
        <v>0</v>
      </c>
      <c r="BH27" s="16">
        <f>COUNTIFS(SEGUIMIENTO!$H$23:$H$122,"CC",SEGUIMIENTO!$Y$23:$Y$122,"N/A")</f>
        <v>0</v>
      </c>
      <c r="BI27" s="22"/>
      <c r="BJ27" s="22"/>
      <c r="BK27" s="15">
        <f>COUNTIFS(SEGUIMIENTO!$H$23:$H$122,"CC",SEGUIMIENTO!$AA$23:$AA$122,"JAC")</f>
        <v>0</v>
      </c>
      <c r="BL27" s="55">
        <f>COUNTIFS(SEGUIMIENTO!$H$23:$H$122,"CC",SEGUIMIENTO!$AA$23:$AA$122,"JAL")</f>
        <v>0</v>
      </c>
      <c r="BM27" s="55">
        <f>COUNTIFS(SEGUIMIENTO!$H$23:$H$122,"CC",SEGUIMIENTO!$AA$23:$AA$122,"AMB")</f>
        <v>0</v>
      </c>
      <c r="BN27" s="55">
        <f>COUNTIFS(SEGUIMIENTO!$H$23:$H$122,"CC",SEGUIMIENTO!$AA$23:$AA$122,"DDHH")</f>
        <v>0</v>
      </c>
      <c r="BO27" s="55">
        <f>COUNTIFS(SEGUIMIENTO!$H$23:$H$122,"CC",SEGUIMIENTO!$AA$23:$AA$122,"SIND")</f>
        <v>0</v>
      </c>
      <c r="BP27" s="55">
        <f>COUNTIFS(SEGUIMIENTO!$H$23:$H$122,"CC",SEGUIMIENTO!$AA$23:$AA$122,"REL")</f>
        <v>0</v>
      </c>
      <c r="BQ27" s="55">
        <f>COUNTIFS(SEGUIMIENTO!$H$23:$H$122,"CC",SEGUIMIENTO!$AA$23:$AA$122,"OTR")</f>
        <v>0</v>
      </c>
      <c r="BR27" s="16">
        <f>COUNTIFS(SEGUIMIENTO!$H$23:$H$122,"CC",SEGUIMIENTO!$AA$23:$AA$122,"N/A")</f>
        <v>0</v>
      </c>
      <c r="BS27" s="22"/>
      <c r="BT27" s="22"/>
      <c r="BU27" s="15">
        <f>COUNTIFS(SEGUIMIENTO!$H$23:$H$122,"CC",SEGUIMIENTO!$AB$23:$AB$122,"RUR")</f>
        <v>0</v>
      </c>
      <c r="BV27" s="16">
        <f>COUNTIFS(SEGUIMIENTO!$H$23:$H$122,"CC",SEGUIMIENTO!$AB$23:$AB$122,"URB")</f>
        <v>0</v>
      </c>
      <c r="BW27" s="22"/>
      <c r="BX27" s="22"/>
      <c r="BY27" s="15">
        <f>COUNTIFS(SEGUIMIENTO!$H$23:$H$122,"CC",SEGUIMIENTO!$AD$23:$AD$122,"1")</f>
        <v>0</v>
      </c>
      <c r="BZ27" s="55">
        <f>COUNTIFS(SEGUIMIENTO!$H$23:$H$122,"CC",SEGUIMIENTO!$AD$23:$AD$122,"2")</f>
        <v>0</v>
      </c>
      <c r="CA27" s="55">
        <f>COUNTIFS(SEGUIMIENTO!$H$23:$H$122,"CC",SEGUIMIENTO!$AD$23:$AD$122,"3")</f>
        <v>0</v>
      </c>
      <c r="CB27" s="55">
        <f>COUNTIFS(SEGUIMIENTO!$H$23:$H$122,"CC",SEGUIMIENTO!$AD$23:$AD$122,"4")</f>
        <v>0</v>
      </c>
      <c r="CC27" s="55">
        <f>COUNTIFS(SEGUIMIENTO!$H$23:$H$122,"CC",SEGUIMIENTO!$AD$23:$AD$122,"5")</f>
        <v>0</v>
      </c>
      <c r="CD27" s="55">
        <f>COUNTIFS(SEGUIMIENTO!$H$23:$H$122,"CC",SEGUIMIENTO!$AD$23:$AD$122,"6")</f>
        <v>0</v>
      </c>
      <c r="CE27" s="55">
        <f>COUNTIFS(SEGUIMIENTO!$H$23:$H$122,"CC",SEGUIMIENTO!$AD$23:$AD$122,"7")</f>
        <v>0</v>
      </c>
      <c r="CF27" s="55">
        <f>COUNTIFS(SEGUIMIENTO!$H$23:$H$122,"CC",SEGUIMIENTO!$AD$23:$AD$122,"8")</f>
        <v>0</v>
      </c>
      <c r="CG27" s="16">
        <f>COUNTIFS(SEGUIMIENTO!$H$23:$H$122,"CC",SEGUIMIENTO!$AD$23:$AD$122,"9")</f>
        <v>0</v>
      </c>
      <c r="CH27" s="22"/>
      <c r="CI27" s="22"/>
      <c r="CJ27" s="15">
        <f>COUNTIFS(SEGUIMIENTO!$H$23:$H$122,"CC",SEGUIMIENTO!$Z$23:$Z$122,"1")</f>
        <v>0</v>
      </c>
      <c r="CK27" s="55">
        <f>COUNTIFS(SEGUIMIENTO!$H$23:$H$122,"CC",SEGUIMIENTO!$Z$23:$Z$122,"2")</f>
        <v>0</v>
      </c>
      <c r="CL27" s="55">
        <f>COUNTIFS(SEGUIMIENTO!$H$23:$H$122,"CC",SEGUIMIENTO!$Z$23:$Z$122,"3")</f>
        <v>0</v>
      </c>
      <c r="CM27" s="55">
        <f>COUNTIFS(SEGUIMIENTO!$H$23:$H$122,"CC",SEGUIMIENTO!$Z$23:$Z$122,"4")</f>
        <v>0</v>
      </c>
      <c r="CN27" s="55">
        <f>COUNTIFS(SEGUIMIENTO!$H$23:$H$122,"CC",SEGUIMIENTO!$Z$23:$Z$122,"5")</f>
        <v>0</v>
      </c>
      <c r="CO27" s="55">
        <f>COUNTIFS(SEGUIMIENTO!$H$23:$H$122,"CC",SEGUIMIENTO!$Z$23:$Z$122,"6")</f>
        <v>0</v>
      </c>
      <c r="CP27" s="55">
        <f>COUNTIFS(SEGUIMIENTO!$H$23:$H$122,"CC",SEGUIMIENTO!$Z$23:$Z$122,"7")</f>
        <v>0</v>
      </c>
      <c r="CQ27" s="55">
        <f>COUNTIFS(SEGUIMIENTO!$H$23:$H$122,"CC",SEGUIMIENTO!$Z$23:$Z$122,"8")</f>
        <v>0</v>
      </c>
      <c r="CR27" s="55">
        <f>COUNTIFS(SEGUIMIENTO!$H$23:$H$122,"CC",SEGUIMIENTO!$Z$23:$Z$122,"9")</f>
        <v>0</v>
      </c>
      <c r="CS27" s="55">
        <f>COUNTIFS(SEGUIMIENTO!$H$23:$H$122,"CC",SEGUIMIENTO!$Z$23:$Z$122,"10")</f>
        <v>0</v>
      </c>
      <c r="CT27" s="55">
        <f>COUNTIFS(SEGUIMIENTO!$H$23:$H$122,"CC",SEGUIMIENTO!$Z$23:$Z$122,"11")</f>
        <v>0</v>
      </c>
      <c r="CU27" s="55">
        <f>COUNTIFS(SEGUIMIENTO!$H$23:$H$122,"CC",SEGUIMIENTO!$Z$23:$Z$122,"12")</f>
        <v>0</v>
      </c>
      <c r="CV27" s="55">
        <f>COUNTIFS(SEGUIMIENTO!$H$23:$H$122,"CC",SEGUIMIENTO!$Z$23:$Z$122,"13")</f>
        <v>0</v>
      </c>
      <c r="CW27" s="55">
        <f>COUNTIFS(SEGUIMIENTO!$H$23:$H$122,"CC",SEGUIMIENTO!$Z$23:$Z$122,"14")</f>
        <v>0</v>
      </c>
      <c r="CX27" s="55">
        <f>COUNTIFS(SEGUIMIENTO!$H$23:$H$122,"CC",SEGUIMIENTO!$Z$23:$Z$122,"15")</f>
        <v>0</v>
      </c>
      <c r="CY27" s="55">
        <f>COUNTIFS(SEGUIMIENTO!$H$23:$H$122,"CC",SEGUIMIENTO!$Z$23:$Z$122,"16")</f>
        <v>0</v>
      </c>
      <c r="CZ27" s="16">
        <f>COUNTIFS(SEGUIMIENTO!$H$23:$H$122,"CC",SEGUIMIENTO!$Z$23:$Z$122,"N/A")</f>
        <v>0</v>
      </c>
      <c r="DA27" s="533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U27" s="35"/>
      <c r="DV27" s="35"/>
      <c r="DY27" s="34">
        <v>12</v>
      </c>
      <c r="DZ27" s="34"/>
      <c r="EJ27" s="285"/>
    </row>
    <row r="28" spans="2:140" s="11" customFormat="1" ht="12.45" customHeight="1" x14ac:dyDescent="0.2">
      <c r="B28" s="110"/>
      <c r="C28" s="310"/>
      <c r="D28" s="298" t="s">
        <v>48</v>
      </c>
      <c r="E28" s="306"/>
      <c r="F28" s="306"/>
      <c r="G28" s="306"/>
      <c r="H28" s="306"/>
      <c r="I28" s="306"/>
      <c r="J28" s="306"/>
      <c r="K28" s="306"/>
      <c r="L28" s="306"/>
      <c r="M28" s="162">
        <f>COUNTIF(SEGUIMIENTO!H23:H122,"CE")</f>
        <v>0</v>
      </c>
      <c r="N28" s="22"/>
      <c r="O28" s="182">
        <f>+AA16</f>
        <v>0</v>
      </c>
      <c r="P28" s="150">
        <f>+AA17</f>
        <v>0</v>
      </c>
      <c r="Q28" s="166">
        <f>+AA18</f>
        <v>0</v>
      </c>
      <c r="R28" s="150">
        <f>+AA19</f>
        <v>0</v>
      </c>
      <c r="S28" s="161">
        <f>+AA20</f>
        <v>0</v>
      </c>
      <c r="T28" s="151">
        <f>+AA21</f>
        <v>0</v>
      </c>
      <c r="U28" s="22"/>
      <c r="V28" s="22"/>
      <c r="W28" s="156"/>
      <c r="X28" s="156"/>
      <c r="Y28" s="156"/>
      <c r="Z28" s="156"/>
      <c r="AA28" s="156"/>
      <c r="AB28" s="156"/>
      <c r="AC28" s="156"/>
      <c r="AD28" s="22"/>
      <c r="AE28" s="22"/>
      <c r="AF28" s="160">
        <f>COUNTIFS(SEGUIMIENTO!$H$23:$H$122,"CE",SEGUIMIENTO!$J$23:$J$122,"M")</f>
        <v>0</v>
      </c>
      <c r="AG28" s="162">
        <f>COUNTIFS(SEGUIMIENTO!$H$23:$H$122,"CE",SEGUIMIENTO!$J$23:$J$122,"F")</f>
        <v>0</v>
      </c>
      <c r="AH28" s="22"/>
      <c r="AI28" s="22"/>
      <c r="AJ28" s="160">
        <f>COUNTIFS(SEGUIMIENTO!$H$23:$H$122,"CE",SEGUIMIENTO!K$23:K$122,"SI")</f>
        <v>0</v>
      </c>
      <c r="AK28" s="161">
        <f>COUNTIFS(SEGUIMIENTO!$H$23:$H$122,"CE",SEGUIMIENTO!L$23:L$122,"SI")</f>
        <v>0</v>
      </c>
      <c r="AL28" s="161">
        <f>COUNTIFS(SEGUIMIENTO!$H$23:$H$122,"CE",SEGUIMIENTO!M$23:M$122,"SI")</f>
        <v>0</v>
      </c>
      <c r="AM28" s="161">
        <f>COUNTIFS(SEGUIMIENTO!$H$23:$H$122,"CE",SEGUIMIENTO!N$23:N$122,"SI")</f>
        <v>0</v>
      </c>
      <c r="AN28" s="161">
        <f>COUNTIFS(SEGUIMIENTO!$H$23:$H$122,"CE",SEGUIMIENTO!O$23:O$122,"SI")</f>
        <v>0</v>
      </c>
      <c r="AO28" s="161">
        <f>COUNTIFS(SEGUIMIENTO!$H$23:$H$122,"CE",SEGUIMIENTO!P$23:P$122,"SI")</f>
        <v>0</v>
      </c>
      <c r="AP28" s="161">
        <f>COUNTIFS(SEGUIMIENTO!$H$23:$H$122,"CE",SEGUIMIENTO!Q$23:Q$122,"SI")</f>
        <v>0</v>
      </c>
      <c r="AQ28" s="161">
        <f>COUNTIFS(SEGUIMIENTO!$H$23:$H$122,"CE",SEGUIMIENTO!R$23:R$122,"SI")</f>
        <v>0</v>
      </c>
      <c r="AR28" s="161">
        <f>COUNTIFS(SEGUIMIENTO!$H$23:$H$122,"CE",SEGUIMIENTO!S$23:S$122,"SI")</f>
        <v>0</v>
      </c>
      <c r="AS28" s="161">
        <f>COUNTIFS(SEGUIMIENTO!$H$23:$H$122,"CE",SEGUIMIENTO!T$23:T$122,"SI")</f>
        <v>0</v>
      </c>
      <c r="AT28" s="161">
        <f>COUNTIFS(SEGUIMIENTO!$H$23:$H$122,"CE",SEGUIMIENTO!U$23:U$122,"SI")</f>
        <v>0</v>
      </c>
      <c r="AU28" s="161">
        <f>COUNTIFS(SEGUIMIENTO!$H$23:$H$122,"CE",SEGUIMIENTO!V$23:V$122,"SI")</f>
        <v>0</v>
      </c>
      <c r="AV28" s="162">
        <f>COUNTIFS(SEGUIMIENTO!$H$23:$H$122,"CE",SEGUIMIENTO!W$23:W$122,"SI")</f>
        <v>0</v>
      </c>
      <c r="AW28" s="22"/>
      <c r="AX28" s="22"/>
      <c r="AY28" s="196">
        <f>COUNTIFS(SEGUIMIENTO!$H$23:$H$122,"CE",SEGUIMIENTO!$X$23:$X$122,"SI")</f>
        <v>0</v>
      </c>
      <c r="AZ28" s="9"/>
      <c r="BA28" s="160">
        <f>COUNTIFS(SEGUIMIENTO!$H$23:$H$122,"CE",SEGUIMIENTO!$Y$23:$Y$122,"I-MB")</f>
        <v>0</v>
      </c>
      <c r="BB28" s="161">
        <f>COUNTIFS(SEGUIMIENTO!$H$23:$H$122,"CE",SEGUIMIENTO!$Y$23:$Y$122,"I-U")</f>
        <v>0</v>
      </c>
      <c r="BC28" s="161">
        <f>COUNTIFS(SEGUIMIENTO!$H$23:$H$122,"CE",SEGUIMIENTO!$Y$23:$Y$122,"I-I")</f>
        <v>0</v>
      </c>
      <c r="BD28" s="161">
        <f>COUNTIFS(SEGUIMIENTO!$H$23:$H$122,"CE",SEGUIMIENTO!$Y$23:$Y$122,"I-K")</f>
        <v>0</v>
      </c>
      <c r="BE28" s="161">
        <f>COUNTIFS(SEGUIMIENTO!$H$23:$H$122,"CE",SEGUIMIENTO!$Y$23:$Y$122,"I-FD")</f>
        <v>0</v>
      </c>
      <c r="BF28" s="161">
        <f>COUNTIFS(SEGUIMIENTO!$H$23:$H$122,"CE",SEGUIMIENTO!$Y$23:$Y$122,"NARP")</f>
        <v>0</v>
      </c>
      <c r="BG28" s="161">
        <f>COUNTIFS(SEGUIMIENTO!$H$23:$H$122,"CE",SEGUIMIENTO!$Y$23:$Y$122,"R")</f>
        <v>0</v>
      </c>
      <c r="BH28" s="162">
        <f>COUNTIFS(SEGUIMIENTO!$H$23:$H$122,"CE",SEGUIMIENTO!$Y$23:$Y$122,"N/A")</f>
        <v>0</v>
      </c>
      <c r="BI28" s="22"/>
      <c r="BJ28" s="22"/>
      <c r="BK28" s="160">
        <f>COUNTIFS(SEGUIMIENTO!$H$23:$H$122,"CE",SEGUIMIENTO!$AA$23:$AA$122,"JAC")</f>
        <v>0</v>
      </c>
      <c r="BL28" s="161">
        <f>COUNTIFS(SEGUIMIENTO!$H$23:$H$122,"CE",SEGUIMIENTO!$AA$23:$AA$122,"JAL")</f>
        <v>0</v>
      </c>
      <c r="BM28" s="161">
        <f>COUNTIFS(SEGUIMIENTO!$H$23:$H$122,"CE",SEGUIMIENTO!$AA$23:$AA$122,"AMB")</f>
        <v>0</v>
      </c>
      <c r="BN28" s="161">
        <f>COUNTIFS(SEGUIMIENTO!$H$23:$H$122,"CE",SEGUIMIENTO!$AA$23:$AA$122,"DDHH")</f>
        <v>0</v>
      </c>
      <c r="BO28" s="161">
        <f>COUNTIFS(SEGUIMIENTO!$H$23:$H$122,"CE",SEGUIMIENTO!$AA$23:$AA$122,"SIND")</f>
        <v>0</v>
      </c>
      <c r="BP28" s="161">
        <f>COUNTIFS(SEGUIMIENTO!$H$23:$H$122,"CE",SEGUIMIENTO!$AA$23:$AA$122,"REL")</f>
        <v>0</v>
      </c>
      <c r="BQ28" s="161">
        <f>COUNTIFS(SEGUIMIENTO!$H$23:$H$122,"CE",SEGUIMIENTO!$AA$23:$AA$122,"OTR")</f>
        <v>0</v>
      </c>
      <c r="BR28" s="162">
        <f>COUNTIFS(SEGUIMIENTO!$H$23:$H$122,"CE",SEGUIMIENTO!$AA$23:$AA$122,"N/A")</f>
        <v>0</v>
      </c>
      <c r="BS28" s="22"/>
      <c r="BT28" s="22"/>
      <c r="BU28" s="160">
        <f>COUNTIFS(SEGUIMIENTO!$H$23:$H$122,"CE",SEGUIMIENTO!$AB$23:$AB$122,"RUR")</f>
        <v>0</v>
      </c>
      <c r="BV28" s="162">
        <f>COUNTIFS(SEGUIMIENTO!$H$23:$H$122,"CE",SEGUIMIENTO!$AB$23:$AB$122,"URB")</f>
        <v>0</v>
      </c>
      <c r="BW28" s="22"/>
      <c r="BX28" s="22"/>
      <c r="BY28" s="160">
        <f>COUNTIFS(SEGUIMIENTO!$H$23:$H$122,"CE",SEGUIMIENTO!$AD$23:$AD$122,"1")</f>
        <v>0</v>
      </c>
      <c r="BZ28" s="161">
        <f>COUNTIFS(SEGUIMIENTO!$H$23:$H$122,"CE",SEGUIMIENTO!$AD$23:$AD$122,"2")</f>
        <v>0</v>
      </c>
      <c r="CA28" s="161">
        <f>COUNTIFS(SEGUIMIENTO!$H$23:$H$122,"CE",SEGUIMIENTO!$AD$23:$AD$122,"3")</f>
        <v>0</v>
      </c>
      <c r="CB28" s="161">
        <f>COUNTIFS(SEGUIMIENTO!$H$23:$H$122,"CE",SEGUIMIENTO!$AD$23:$AD$122,"4")</f>
        <v>0</v>
      </c>
      <c r="CC28" s="161">
        <f>COUNTIFS(SEGUIMIENTO!$H$23:$H$122,"CE",SEGUIMIENTO!$AD$23:$AD$122,"5")</f>
        <v>0</v>
      </c>
      <c r="CD28" s="161">
        <f>COUNTIFS(SEGUIMIENTO!$H$23:$H$122,"CE",SEGUIMIENTO!$AD$23:$AD$122,"6")</f>
        <v>0</v>
      </c>
      <c r="CE28" s="161">
        <f>COUNTIFS(SEGUIMIENTO!$H$23:$H$122,"CE",SEGUIMIENTO!$AD$23:$AD$122,"7")</f>
        <v>0</v>
      </c>
      <c r="CF28" s="161">
        <f>COUNTIFS(SEGUIMIENTO!$H$23:$H$122,"CE",SEGUIMIENTO!$AD$23:$AD$122,"8")</f>
        <v>0</v>
      </c>
      <c r="CG28" s="162">
        <f>COUNTIFS(SEGUIMIENTO!$H$23:$H$122,"CE",SEGUIMIENTO!$AD$23:$AD$122,"9")</f>
        <v>0</v>
      </c>
      <c r="CH28" s="22"/>
      <c r="CI28" s="22"/>
      <c r="CJ28" s="160">
        <f>COUNTIFS(SEGUIMIENTO!$H$23:$H$122,"CE",SEGUIMIENTO!$Z$23:$Z$122,"1")</f>
        <v>0</v>
      </c>
      <c r="CK28" s="161">
        <f>COUNTIFS(SEGUIMIENTO!$H$23:$H$122,"CE",SEGUIMIENTO!$Z$23:$Z$122,"2")</f>
        <v>0</v>
      </c>
      <c r="CL28" s="161">
        <f>COUNTIFS(SEGUIMIENTO!$H$23:$H$122,"CE",SEGUIMIENTO!$Z$23:$Z$122,"3")</f>
        <v>0</v>
      </c>
      <c r="CM28" s="161">
        <f>COUNTIFS(SEGUIMIENTO!$H$23:$H$122,"CE",SEGUIMIENTO!$Z$23:$Z$122,"4")</f>
        <v>0</v>
      </c>
      <c r="CN28" s="161">
        <f>COUNTIFS(SEGUIMIENTO!$H$23:$H$122,"CE",SEGUIMIENTO!$Z$23:$Z$122,"5")</f>
        <v>0</v>
      </c>
      <c r="CO28" s="161">
        <f>COUNTIFS(SEGUIMIENTO!$H$23:$H$122,"CE",SEGUIMIENTO!$Z$23:$Z$122,"6")</f>
        <v>0</v>
      </c>
      <c r="CP28" s="161">
        <f>COUNTIFS(SEGUIMIENTO!$H$23:$H$122,"CE",SEGUIMIENTO!$Z$23:$Z$122,"7")</f>
        <v>0</v>
      </c>
      <c r="CQ28" s="161">
        <f>COUNTIFS(SEGUIMIENTO!$H$23:$H$122,"CE",SEGUIMIENTO!$Z$23:$Z$122,"8")</f>
        <v>0</v>
      </c>
      <c r="CR28" s="161">
        <f>COUNTIFS(SEGUIMIENTO!$H$23:$H$122,"CE",SEGUIMIENTO!$Z$23:$Z$122,"9")</f>
        <v>0</v>
      </c>
      <c r="CS28" s="161">
        <f>COUNTIFS(SEGUIMIENTO!$H$23:$H$122,"CE",SEGUIMIENTO!$Z$23:$Z$122,"10")</f>
        <v>0</v>
      </c>
      <c r="CT28" s="161">
        <f>COUNTIFS(SEGUIMIENTO!$H$23:$H$122,"CE",SEGUIMIENTO!$Z$23:$Z$122,"11")</f>
        <v>0</v>
      </c>
      <c r="CU28" s="161">
        <f>COUNTIFS(SEGUIMIENTO!$H$23:$H$122,"CE",SEGUIMIENTO!$Z$23:$Z$122,"12")</f>
        <v>0</v>
      </c>
      <c r="CV28" s="161">
        <f>COUNTIFS(SEGUIMIENTO!$H$23:$H$122,"CE",SEGUIMIENTO!$Z$23:$Z$122,"13")</f>
        <v>0</v>
      </c>
      <c r="CW28" s="161">
        <f>COUNTIFS(SEGUIMIENTO!$H$23:$H$122,"CE",SEGUIMIENTO!$Z$23:$Z$122,"14")</f>
        <v>0</v>
      </c>
      <c r="CX28" s="161">
        <f>COUNTIFS(SEGUIMIENTO!$H$23:$H$122,"CE",SEGUIMIENTO!$Z$23:$Z$122,"15")</f>
        <v>0</v>
      </c>
      <c r="CY28" s="161">
        <f>COUNTIFS(SEGUIMIENTO!$H$23:$H$122,"CE",SEGUIMIENTO!$Z$23:$Z$122,"16")</f>
        <v>0</v>
      </c>
      <c r="CZ28" s="162">
        <f>COUNTIFS(SEGUIMIENTO!$H$23:$H$122,"CE",SEGUIMIENTO!$Z$23:$Z$122,"N/A")</f>
        <v>0</v>
      </c>
      <c r="DA28" s="533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U28" s="35"/>
      <c r="DV28" s="35"/>
      <c r="DY28" s="34">
        <v>13</v>
      </c>
      <c r="DZ28" s="34"/>
      <c r="EJ28" s="285"/>
    </row>
    <row r="29" spans="2:140" s="11" customFormat="1" ht="12.45" customHeight="1" x14ac:dyDescent="0.2">
      <c r="B29" s="110"/>
      <c r="C29" s="310"/>
      <c r="D29" s="296" t="s">
        <v>37</v>
      </c>
      <c r="E29" s="304"/>
      <c r="F29" s="304"/>
      <c r="G29" s="304"/>
      <c r="H29" s="304"/>
      <c r="I29" s="304"/>
      <c r="J29" s="304"/>
      <c r="K29" s="304"/>
      <c r="L29" s="304"/>
      <c r="M29" s="151">
        <f>COUNTIF(SEGUIMIENTO!H23:H122,"PA")</f>
        <v>0</v>
      </c>
      <c r="N29" s="22"/>
      <c r="O29" s="182">
        <f>+AB16</f>
        <v>0</v>
      </c>
      <c r="P29" s="150">
        <f>+AB17</f>
        <v>0</v>
      </c>
      <c r="Q29" s="166">
        <f>+AB18</f>
        <v>0</v>
      </c>
      <c r="R29" s="150">
        <f>+AB19</f>
        <v>0</v>
      </c>
      <c r="S29" s="161">
        <f>+AB20</f>
        <v>0</v>
      </c>
      <c r="T29" s="151">
        <f>+AB21</f>
        <v>0</v>
      </c>
      <c r="U29" s="22"/>
      <c r="V29" s="22"/>
      <c r="W29" s="156"/>
      <c r="X29" s="156"/>
      <c r="Y29" s="156"/>
      <c r="Z29" s="156"/>
      <c r="AA29" s="156"/>
      <c r="AB29" s="156"/>
      <c r="AC29" s="156"/>
      <c r="AD29" s="22"/>
      <c r="AE29" s="22"/>
      <c r="AF29" s="15">
        <f>COUNTIFS(SEGUIMIENTO!$H$23:$H$122,"PA",SEGUIMIENTO!$J$23:$J$122,"M")</f>
        <v>0</v>
      </c>
      <c r="AG29" s="16">
        <f>COUNTIFS(SEGUIMIENTO!$H$23:$H$122,"PA",SEGUIMIENTO!$J$23:$J$122,"F")</f>
        <v>0</v>
      </c>
      <c r="AH29" s="22"/>
      <c r="AI29" s="22"/>
      <c r="AJ29" s="15">
        <f>COUNTIFS(SEGUIMIENTO!$H$23:$H$122,"PA",SEGUIMIENTO!K$23:K$122,"SI")</f>
        <v>0</v>
      </c>
      <c r="AK29" s="55">
        <f>COUNTIFS(SEGUIMIENTO!$H$23:$H$122,"PA",SEGUIMIENTO!L$23:L$122,"SI")</f>
        <v>0</v>
      </c>
      <c r="AL29" s="55">
        <f>COUNTIFS(SEGUIMIENTO!$H$23:$H$122,"PA",SEGUIMIENTO!M$23:M$122,"SI")</f>
        <v>0</v>
      </c>
      <c r="AM29" s="55">
        <f>COUNTIFS(SEGUIMIENTO!$H$23:$H$122,"PA",SEGUIMIENTO!N$23:N$122,"SI")</f>
        <v>0</v>
      </c>
      <c r="AN29" s="55">
        <f>COUNTIFS(SEGUIMIENTO!$H$23:$H$122,"PA",SEGUIMIENTO!O$23:O$122,"SI")</f>
        <v>0</v>
      </c>
      <c r="AO29" s="55">
        <f>COUNTIFS(SEGUIMIENTO!$H$23:$H$122,"PA",SEGUIMIENTO!P$23:P$122,"SI")</f>
        <v>0</v>
      </c>
      <c r="AP29" s="55">
        <f>COUNTIFS(SEGUIMIENTO!$H$23:$H$122,"PA",SEGUIMIENTO!Q$23:Q$122,"SI")</f>
        <v>0</v>
      </c>
      <c r="AQ29" s="55">
        <f>COUNTIFS(SEGUIMIENTO!$H$23:$H$122,"PA",SEGUIMIENTO!R$23:R$122,"SI")</f>
        <v>0</v>
      </c>
      <c r="AR29" s="55">
        <f>COUNTIFS(SEGUIMIENTO!$H$23:$H$122,"PA",SEGUIMIENTO!S$23:S$122,"SI")</f>
        <v>0</v>
      </c>
      <c r="AS29" s="55">
        <f>COUNTIFS(SEGUIMIENTO!$H$23:$H$122,"PA",SEGUIMIENTO!T$23:T$122,"SI")</f>
        <v>0</v>
      </c>
      <c r="AT29" s="55">
        <f>COUNTIFS(SEGUIMIENTO!$H$23:$H$122,"PA",SEGUIMIENTO!U$23:U$122,"SI")</f>
        <v>0</v>
      </c>
      <c r="AU29" s="55">
        <f>COUNTIFS(SEGUIMIENTO!$H$23:$H$122,"PA",SEGUIMIENTO!V$23:V$122,"SI")</f>
        <v>0</v>
      </c>
      <c r="AV29" s="16">
        <f>COUNTIFS(SEGUIMIENTO!$H$23:$H$122,"PA",SEGUIMIENTO!W$23:W$122,"SI")</f>
        <v>0</v>
      </c>
      <c r="AW29" s="22"/>
      <c r="AX29" s="22"/>
      <c r="AY29" s="17">
        <f>COUNTIFS(SEGUIMIENTO!$H$23:$H$122,"PA",SEGUIMIENTO!$X$23:$X$122,"SI")</f>
        <v>0</v>
      </c>
      <c r="AZ29" s="9"/>
      <c r="BA29" s="15">
        <f>COUNTIFS(SEGUIMIENTO!$H$23:$H$122,"PA",SEGUIMIENTO!$Y$23:$Y$122,"I-MB")</f>
        <v>0</v>
      </c>
      <c r="BB29" s="55">
        <f>COUNTIFS(SEGUIMIENTO!$H$23:$H$122,"PA",SEGUIMIENTO!$Y$23:$Y$122,"I-U")</f>
        <v>0</v>
      </c>
      <c r="BC29" s="55">
        <f>COUNTIFS(SEGUIMIENTO!$H$23:$H$122,"PA",SEGUIMIENTO!$Y$23:$Y$122,"I-I")</f>
        <v>0</v>
      </c>
      <c r="BD29" s="55">
        <f>COUNTIFS(SEGUIMIENTO!$H$23:$H$122,"PA",SEGUIMIENTO!$Y$23:$Y$122,"I-K")</f>
        <v>0</v>
      </c>
      <c r="BE29" s="55">
        <f>COUNTIFS(SEGUIMIENTO!$H$23:$H$122,"PA",SEGUIMIENTO!$Y$23:$Y$122,"I-FD")</f>
        <v>0</v>
      </c>
      <c r="BF29" s="55">
        <f>COUNTIFS(SEGUIMIENTO!$H$23:$H$122,"PA",SEGUIMIENTO!$Y$23:$Y$122,"NARP")</f>
        <v>0</v>
      </c>
      <c r="BG29" s="55">
        <f>COUNTIFS(SEGUIMIENTO!$H$23:$H$122,"PA",SEGUIMIENTO!$Y$23:$Y$122,"R")</f>
        <v>0</v>
      </c>
      <c r="BH29" s="16">
        <f>COUNTIFS(SEGUIMIENTO!$H$23:$H$122,"PA",SEGUIMIENTO!$Y$23:$Y$122,"N/A")</f>
        <v>0</v>
      </c>
      <c r="BI29" s="22"/>
      <c r="BJ29" s="22"/>
      <c r="BK29" s="15">
        <f>COUNTIFS(SEGUIMIENTO!$H$23:$H$122,"PA",SEGUIMIENTO!$AA$23:$AA$122,"JAC")</f>
        <v>0</v>
      </c>
      <c r="BL29" s="55">
        <f>COUNTIFS(SEGUIMIENTO!$H$23:$H$122,"PA",SEGUIMIENTO!$AA$23:$AA$122,"JAL")</f>
        <v>0</v>
      </c>
      <c r="BM29" s="55">
        <f>COUNTIFS(SEGUIMIENTO!$H$23:$H$122,"PA",SEGUIMIENTO!$AA$23:$AA$122,"AMB")</f>
        <v>0</v>
      </c>
      <c r="BN29" s="55">
        <f>COUNTIFS(SEGUIMIENTO!$H$23:$H$122,"PA",SEGUIMIENTO!$AA$23:$AA$122,"DDHH")</f>
        <v>0</v>
      </c>
      <c r="BO29" s="55">
        <f>COUNTIFS(SEGUIMIENTO!$H$23:$H$122,"PA",SEGUIMIENTO!$AA$23:$AA$122,"SIND")</f>
        <v>0</v>
      </c>
      <c r="BP29" s="55">
        <f>COUNTIFS(SEGUIMIENTO!$H$23:$H$122,"PA",SEGUIMIENTO!$AA$23:$AA$122,"REL")</f>
        <v>0</v>
      </c>
      <c r="BQ29" s="55">
        <f>COUNTIFS(SEGUIMIENTO!$H$23:$H$122,"PA",SEGUIMIENTO!$AA$23:$AA$122,"OTR")</f>
        <v>0</v>
      </c>
      <c r="BR29" s="16">
        <f>COUNTIFS(SEGUIMIENTO!$H$23:$H$122,"PA",SEGUIMIENTO!$AA$23:$AA$122,"N/A")</f>
        <v>0</v>
      </c>
      <c r="BS29" s="22"/>
      <c r="BT29" s="22"/>
      <c r="BU29" s="15">
        <f>COUNTIFS(SEGUIMIENTO!$H$23:$H$122,"PA",SEGUIMIENTO!$AB$23:$AB$122,"RUR")</f>
        <v>0</v>
      </c>
      <c r="BV29" s="16">
        <f>COUNTIFS(SEGUIMIENTO!$H$23:$H$122,"PA",SEGUIMIENTO!$AB$23:$AB$122,"URB")</f>
        <v>0</v>
      </c>
      <c r="BW29" s="22"/>
      <c r="BX29" s="22"/>
      <c r="BY29" s="15">
        <f>COUNTIFS(SEGUIMIENTO!$H$23:$H$122,"PA",SEGUIMIENTO!$AD$23:$AD$122,"1")</f>
        <v>0</v>
      </c>
      <c r="BZ29" s="55">
        <f>COUNTIFS(SEGUIMIENTO!$H$23:$H$122,"PA",SEGUIMIENTO!$AD$23:$AD$122,"2")</f>
        <v>0</v>
      </c>
      <c r="CA29" s="55">
        <f>COUNTIFS(SEGUIMIENTO!$H$23:$H$122,"PA",SEGUIMIENTO!$AD$23:$AD$122,"3")</f>
        <v>0</v>
      </c>
      <c r="CB29" s="55">
        <f>COUNTIFS(SEGUIMIENTO!$H$23:$H$122,"PA",SEGUIMIENTO!$AD$23:$AD$122,"4")</f>
        <v>0</v>
      </c>
      <c r="CC29" s="55">
        <f>COUNTIFS(SEGUIMIENTO!$H$23:$H$122,"PA",SEGUIMIENTO!$AD$23:$AD$122,"5")</f>
        <v>0</v>
      </c>
      <c r="CD29" s="55">
        <f>COUNTIFS(SEGUIMIENTO!$H$23:$H$122,"PA",SEGUIMIENTO!$AD$23:$AD$122,"6")</f>
        <v>0</v>
      </c>
      <c r="CE29" s="55">
        <f>COUNTIFS(SEGUIMIENTO!$H$23:$H$122,"PA",SEGUIMIENTO!$AD$23:$AD$122,"7")</f>
        <v>0</v>
      </c>
      <c r="CF29" s="55">
        <f>COUNTIFS(SEGUIMIENTO!$H$23:$H$122,"PA",SEGUIMIENTO!$AD$23:$AD$122,"8")</f>
        <v>0</v>
      </c>
      <c r="CG29" s="16">
        <f>COUNTIFS(SEGUIMIENTO!$H$23:$H$122,"PA",SEGUIMIENTO!$AD$23:$AD$122,"9")</f>
        <v>0</v>
      </c>
      <c r="CH29" s="22"/>
      <c r="CI29" s="22"/>
      <c r="CJ29" s="15">
        <f>COUNTIFS(SEGUIMIENTO!$H$23:$H$122,"PA",SEGUIMIENTO!$Z$23:$Z$122,"1")</f>
        <v>0</v>
      </c>
      <c r="CK29" s="55">
        <f>COUNTIFS(SEGUIMIENTO!$H$23:$H$122,"PA",SEGUIMIENTO!$Z$23:$Z$122,"2")</f>
        <v>0</v>
      </c>
      <c r="CL29" s="55">
        <f>COUNTIFS(SEGUIMIENTO!$H$23:$H$122,"PA",SEGUIMIENTO!$Z$23:$Z$122,"3")</f>
        <v>0</v>
      </c>
      <c r="CM29" s="55">
        <f>COUNTIFS(SEGUIMIENTO!$H$23:$H$122,"PA",SEGUIMIENTO!$Z$23:$Z$122,"4")</f>
        <v>0</v>
      </c>
      <c r="CN29" s="55">
        <f>COUNTIFS(SEGUIMIENTO!$H$23:$H$122,"PA",SEGUIMIENTO!$Z$23:$Z$122,"5")</f>
        <v>0</v>
      </c>
      <c r="CO29" s="55">
        <f>COUNTIFS(SEGUIMIENTO!$H$23:$H$122,"PA",SEGUIMIENTO!$Z$23:$Z$122,"6")</f>
        <v>0</v>
      </c>
      <c r="CP29" s="55">
        <f>COUNTIFS(SEGUIMIENTO!$H$23:$H$122,"PA",SEGUIMIENTO!$Z$23:$Z$122,"7")</f>
        <v>0</v>
      </c>
      <c r="CQ29" s="55">
        <f>COUNTIFS(SEGUIMIENTO!$H$23:$H$122,"PA",SEGUIMIENTO!$Z$23:$Z$122,"8")</f>
        <v>0</v>
      </c>
      <c r="CR29" s="55">
        <f>COUNTIFS(SEGUIMIENTO!$H$23:$H$122,"PA",SEGUIMIENTO!$Z$23:$Z$122,"9")</f>
        <v>0</v>
      </c>
      <c r="CS29" s="55">
        <f>COUNTIFS(SEGUIMIENTO!$H$23:$H$122,"PA",SEGUIMIENTO!$Z$23:$Z$122,"10")</f>
        <v>0</v>
      </c>
      <c r="CT29" s="55">
        <f>COUNTIFS(SEGUIMIENTO!$H$23:$H$122,"PA",SEGUIMIENTO!$Z$23:$Z$122,"11")</f>
        <v>0</v>
      </c>
      <c r="CU29" s="55">
        <f>COUNTIFS(SEGUIMIENTO!$H$23:$H$122,"PA",SEGUIMIENTO!$Z$23:$Z$122,"12")</f>
        <v>0</v>
      </c>
      <c r="CV29" s="55">
        <f>COUNTIFS(SEGUIMIENTO!$H$23:$H$122,"PA",SEGUIMIENTO!$Z$23:$Z$122,"13")</f>
        <v>0</v>
      </c>
      <c r="CW29" s="55">
        <f>COUNTIFS(SEGUIMIENTO!$H$23:$H$122,"PA",SEGUIMIENTO!$Z$23:$Z$122,"14")</f>
        <v>0</v>
      </c>
      <c r="CX29" s="55">
        <f>COUNTIFS(SEGUIMIENTO!$H$23:$H$122,"PA",SEGUIMIENTO!$Z$23:$Z$122,"15")</f>
        <v>0</v>
      </c>
      <c r="CY29" s="55">
        <f>COUNTIFS(SEGUIMIENTO!$H$23:$H$122,"PA",SEGUIMIENTO!$Z$23:$Z$122,"16")</f>
        <v>0</v>
      </c>
      <c r="CZ29" s="16">
        <f>COUNTIFS(SEGUIMIENTO!$H$23:$H$122,"PA",SEGUIMIENTO!$Z$23:$Z$122,"N/A")</f>
        <v>0</v>
      </c>
      <c r="DA29" s="533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U29" s="35"/>
      <c r="DV29" s="35"/>
      <c r="DW29" s="35"/>
      <c r="DX29" s="35"/>
      <c r="DY29" s="34">
        <v>14</v>
      </c>
      <c r="DZ29" s="34"/>
      <c r="EJ29" s="285"/>
    </row>
    <row r="30" spans="2:140" s="11" customFormat="1" ht="12.45" customHeight="1" thickBot="1" x14ac:dyDescent="0.25">
      <c r="B30" s="110"/>
      <c r="C30" s="310"/>
      <c r="D30" s="308" t="s">
        <v>49</v>
      </c>
      <c r="E30" s="350"/>
      <c r="F30" s="350"/>
      <c r="G30" s="350"/>
      <c r="H30" s="350"/>
      <c r="I30" s="350"/>
      <c r="J30" s="350"/>
      <c r="K30" s="350"/>
      <c r="L30" s="350"/>
      <c r="M30" s="188">
        <f>COUNTIF(SEGUIMIENTO!H23:H122,"SD")</f>
        <v>0</v>
      </c>
      <c r="N30" s="22"/>
      <c r="O30" s="183">
        <f>+AC16</f>
        <v>0</v>
      </c>
      <c r="P30" s="153">
        <f>+AC17</f>
        <v>0</v>
      </c>
      <c r="Q30" s="185">
        <f>+AC18</f>
        <v>0</v>
      </c>
      <c r="R30" s="153">
        <f>+AC19</f>
        <v>0</v>
      </c>
      <c r="S30" s="187">
        <f>+AC20</f>
        <v>0</v>
      </c>
      <c r="T30" s="154">
        <f>+AC21</f>
        <v>0</v>
      </c>
      <c r="U30" s="22"/>
      <c r="V30" s="22"/>
      <c r="W30" s="156"/>
      <c r="X30" s="156"/>
      <c r="Y30" s="156"/>
      <c r="Z30" s="156"/>
      <c r="AA30" s="156"/>
      <c r="AB30" s="156"/>
      <c r="AC30" s="156"/>
      <c r="AD30" s="22"/>
      <c r="AE30" s="22"/>
      <c r="AF30" s="189">
        <f>COUNTIFS(SEGUIMIENTO!$H$23:$H$122,"SD",SEGUIMIENTO!$J$23:$J$122,"M")</f>
        <v>0</v>
      </c>
      <c r="AG30" s="188">
        <f>COUNTIFS(SEGUIMIENTO!$H$23:$H$122,"SD",SEGUIMIENTO!$J$23:$J$122,"F")</f>
        <v>0</v>
      </c>
      <c r="AH30" s="22"/>
      <c r="AI30" s="22"/>
      <c r="AJ30" s="189">
        <f>COUNTIFS(SEGUIMIENTO!$H$23:$H$122,"SD",SEGUIMIENTO!K$23:K$122,"SI")</f>
        <v>0</v>
      </c>
      <c r="AK30" s="190">
        <f>COUNTIFS(SEGUIMIENTO!$H$23:$H$122,"SD",SEGUIMIENTO!L$23:L$122,"SI")</f>
        <v>0</v>
      </c>
      <c r="AL30" s="190">
        <f>COUNTIFS(SEGUIMIENTO!$H$23:$H$122,"SD",SEGUIMIENTO!M$23:M$122,"SI")</f>
        <v>0</v>
      </c>
      <c r="AM30" s="190">
        <f>COUNTIFS(SEGUIMIENTO!$H$23:$H$122,"PA",SEGUIMIENTO!N$23:N$122,"SI")</f>
        <v>0</v>
      </c>
      <c r="AN30" s="190">
        <f>COUNTIFS(SEGUIMIENTO!$H$23:$H$122,"SD",SEGUIMIENTO!O$23:O$122,"SI")</f>
        <v>0</v>
      </c>
      <c r="AO30" s="190">
        <f>COUNTIFS(SEGUIMIENTO!$H$23:$H$122,"SD",SEGUIMIENTO!P$23:P$122,"SI")</f>
        <v>0</v>
      </c>
      <c r="AP30" s="190">
        <f>COUNTIFS(SEGUIMIENTO!$H$23:$H$122,"SD",SEGUIMIENTO!Q$23:Q$122,"SI")</f>
        <v>0</v>
      </c>
      <c r="AQ30" s="190">
        <f>COUNTIFS(SEGUIMIENTO!$H$23:$H$122,"SD",SEGUIMIENTO!R$23:R$122,"SI")</f>
        <v>0</v>
      </c>
      <c r="AR30" s="190">
        <f>COUNTIFS(SEGUIMIENTO!$H$23:$H$122,"SD",SEGUIMIENTO!S$23:S$122,"SI")</f>
        <v>0</v>
      </c>
      <c r="AS30" s="190">
        <f>COUNTIFS(SEGUIMIENTO!$H$23:$H$122,"SD",SEGUIMIENTO!T$23:T$122,"SI")</f>
        <v>0</v>
      </c>
      <c r="AT30" s="190">
        <f>COUNTIFS(SEGUIMIENTO!$H$23:$H$122,"SD",SEGUIMIENTO!U$23:U$122,"SI")</f>
        <v>0</v>
      </c>
      <c r="AU30" s="190">
        <f>COUNTIFS(SEGUIMIENTO!$H$23:$H$122,"SD",SEGUIMIENTO!V$23:V$122,"SI")</f>
        <v>0</v>
      </c>
      <c r="AV30" s="188">
        <f>COUNTIFS(SEGUIMIENTO!$H$23:$H$122,"SD",SEGUIMIENTO!W$23:W$122,"SI")</f>
        <v>0</v>
      </c>
      <c r="AW30" s="22"/>
      <c r="AX30" s="22"/>
      <c r="AY30" s="197">
        <f>COUNTIFS(SEGUIMIENTO!$H$23:$H$122,"SD",SEGUIMIENTO!$X$23:$X$122,"SI")</f>
        <v>0</v>
      </c>
      <c r="AZ30" s="9"/>
      <c r="BA30" s="189">
        <f>COUNTIFS(SEGUIMIENTO!$H$23:$H$122,"SD",SEGUIMIENTO!$Y$23:$Y$122,"I-MB")</f>
        <v>0</v>
      </c>
      <c r="BB30" s="190">
        <f>COUNTIFS(SEGUIMIENTO!$H$23:$H$122,"SD",SEGUIMIENTO!$Y$23:$Y$122,"I-U")</f>
        <v>0</v>
      </c>
      <c r="BC30" s="190">
        <f>COUNTIFS(SEGUIMIENTO!$H$23:$H$122,"SD",SEGUIMIENTO!$Y$23:$Y$122,"I-I")</f>
        <v>0</v>
      </c>
      <c r="BD30" s="190">
        <f>COUNTIFS(SEGUIMIENTO!$H$23:$H$122,"SD",SEGUIMIENTO!$Y$23:$Y$122,"I-K")</f>
        <v>0</v>
      </c>
      <c r="BE30" s="190">
        <f>COUNTIFS(SEGUIMIENTO!$H$23:$H$122,"SD",SEGUIMIENTO!$Y$23:$Y$122,"I-FD")</f>
        <v>0</v>
      </c>
      <c r="BF30" s="190">
        <f>COUNTIFS(SEGUIMIENTO!$H$23:$H$122,"SD",SEGUIMIENTO!$Y$23:$Y$122,"NARP")</f>
        <v>0</v>
      </c>
      <c r="BG30" s="190">
        <f>COUNTIFS(SEGUIMIENTO!$H$23:$H$122,"SD",SEGUIMIENTO!$Y$23:$Y$122,"R")</f>
        <v>0</v>
      </c>
      <c r="BH30" s="188">
        <f>COUNTIFS(SEGUIMIENTO!$H$23:$H$122,"SD",SEGUIMIENTO!$Y$23:$Y$122,"N/A")</f>
        <v>0</v>
      </c>
      <c r="BI30" s="22"/>
      <c r="BJ30" s="22"/>
      <c r="BK30" s="189">
        <f>COUNTIFS(SEGUIMIENTO!$H$23:$H$122,"SD",SEGUIMIENTO!$AA$23:$AA$122,"JAC")</f>
        <v>0</v>
      </c>
      <c r="BL30" s="190">
        <f>COUNTIFS(SEGUIMIENTO!$H$23:$H$122,"SD",SEGUIMIENTO!$AA$23:$AA$122,"JAL")</f>
        <v>0</v>
      </c>
      <c r="BM30" s="190">
        <f>COUNTIFS(SEGUIMIENTO!$H$23:$H$122,"SD",SEGUIMIENTO!$AA$23:$AA$122,"AMB")</f>
        <v>0</v>
      </c>
      <c r="BN30" s="190">
        <f>COUNTIFS(SEGUIMIENTO!$H$23:$H$122,"SD",SEGUIMIENTO!$AA$23:$AA$122,"DDHH")</f>
        <v>0</v>
      </c>
      <c r="BO30" s="190">
        <f>COUNTIFS(SEGUIMIENTO!$H$23:$H$122,"SD",SEGUIMIENTO!$AA$23:$AA$122,"SIND")</f>
        <v>0</v>
      </c>
      <c r="BP30" s="190">
        <f>COUNTIFS(SEGUIMIENTO!$H$23:$H$122,"SD",SEGUIMIENTO!$AA$23:$AA$122,"REL")</f>
        <v>0</v>
      </c>
      <c r="BQ30" s="190">
        <f>COUNTIFS(SEGUIMIENTO!$H$23:$H$122,"SD",SEGUIMIENTO!$AA$23:$AA$122,"OTR")</f>
        <v>0</v>
      </c>
      <c r="BR30" s="188">
        <f>COUNTIFS(SEGUIMIENTO!$H$23:$H$122,"SD",SEGUIMIENTO!$AA$23:$AA$122,"N/A")</f>
        <v>0</v>
      </c>
      <c r="BS30" s="22"/>
      <c r="BT30" s="22"/>
      <c r="BU30" s="189">
        <f>COUNTIFS(SEGUIMIENTO!$H$23:$H$122,"SD",SEGUIMIENTO!$AB$23:$AB$122,"RUR")</f>
        <v>0</v>
      </c>
      <c r="BV30" s="188">
        <f>COUNTIFS(SEGUIMIENTO!$H$23:$H$122,"SD",SEGUIMIENTO!$AB$23:$AB$122,"URB")</f>
        <v>0</v>
      </c>
      <c r="BW30" s="22"/>
      <c r="BX30" s="22"/>
      <c r="BY30" s="189">
        <f>COUNTIFS(SEGUIMIENTO!$H$23:$H$122,"SD",SEGUIMIENTO!$AD$23:$AD$122,"1")</f>
        <v>0</v>
      </c>
      <c r="BZ30" s="190">
        <f>COUNTIFS(SEGUIMIENTO!$H$23:$H$122,"SD",SEGUIMIENTO!$AD$23:$AD$122,"2")</f>
        <v>0</v>
      </c>
      <c r="CA30" s="190">
        <f>COUNTIFS(SEGUIMIENTO!$H$23:$H$122,"SD",SEGUIMIENTO!$AD$23:$AD$122,"3")</f>
        <v>0</v>
      </c>
      <c r="CB30" s="190">
        <f>COUNTIFS(SEGUIMIENTO!$H$23:$H$122,"SD",SEGUIMIENTO!$AD$23:$AD$122,"4")</f>
        <v>0</v>
      </c>
      <c r="CC30" s="190">
        <f>COUNTIFS(SEGUIMIENTO!$H$23:$H$122,"SD",SEGUIMIENTO!$AD$23:$AD$122,"5")</f>
        <v>0</v>
      </c>
      <c r="CD30" s="190">
        <f>COUNTIFS(SEGUIMIENTO!$H$23:$H$122,"SD",SEGUIMIENTO!$AD$23:$AD$122,"6")</f>
        <v>0</v>
      </c>
      <c r="CE30" s="190">
        <f>COUNTIFS(SEGUIMIENTO!$H$23:$H$122,"SD",SEGUIMIENTO!$AD$23:$AD$122,"7")</f>
        <v>0</v>
      </c>
      <c r="CF30" s="190">
        <f>COUNTIFS(SEGUIMIENTO!$H$23:$H$122,"SD",SEGUIMIENTO!$AD$23:$AD$122,"8")</f>
        <v>0</v>
      </c>
      <c r="CG30" s="188">
        <f>COUNTIFS(SEGUIMIENTO!$H$23:$H$122,"SD",SEGUIMIENTO!$AD$23:$AD$122,"9")</f>
        <v>0</v>
      </c>
      <c r="CH30" s="22"/>
      <c r="CI30" s="22"/>
      <c r="CJ30" s="189">
        <f>COUNTIFS(SEGUIMIENTO!$H$23:$H$122,"SD",SEGUIMIENTO!$Z$23:$Z$122,"1")</f>
        <v>0</v>
      </c>
      <c r="CK30" s="190">
        <f>COUNTIFS(SEGUIMIENTO!$H$23:$H$122,"SD",SEGUIMIENTO!$Z$23:$Z$122,"2")</f>
        <v>0</v>
      </c>
      <c r="CL30" s="190">
        <f>COUNTIFS(SEGUIMIENTO!$H$23:$H$122,"SD",SEGUIMIENTO!$Z$23:$Z$122,"3")</f>
        <v>0</v>
      </c>
      <c r="CM30" s="190">
        <f>COUNTIFS(SEGUIMIENTO!$H$23:$H$122,"SD",SEGUIMIENTO!$Z$23:$Z$122,"4")</f>
        <v>0</v>
      </c>
      <c r="CN30" s="190">
        <f>COUNTIFS(SEGUIMIENTO!$H$23:$H$122,"SD",SEGUIMIENTO!$Z$23:$Z$122,"5")</f>
        <v>0</v>
      </c>
      <c r="CO30" s="190">
        <f>COUNTIFS(SEGUIMIENTO!$H$23:$H$122,"SD",SEGUIMIENTO!$Z$23:$Z$122,"6")</f>
        <v>0</v>
      </c>
      <c r="CP30" s="190">
        <f>COUNTIFS(SEGUIMIENTO!$H$23:$H$122,"SD",SEGUIMIENTO!$Z$23:$Z$122,"7")</f>
        <v>0</v>
      </c>
      <c r="CQ30" s="190">
        <f>COUNTIFS(SEGUIMIENTO!$H$23:$H$122,"SD",SEGUIMIENTO!$Z$23:$Z$122,"8")</f>
        <v>0</v>
      </c>
      <c r="CR30" s="190">
        <f>COUNTIFS(SEGUIMIENTO!$H$23:$H$122,"SD",SEGUIMIENTO!$Z$23:$Z$122,"9")</f>
        <v>0</v>
      </c>
      <c r="CS30" s="190">
        <f>COUNTIFS(SEGUIMIENTO!$H$23:$H$122,"SD",SEGUIMIENTO!$Z$23:$Z$122,"10")</f>
        <v>0</v>
      </c>
      <c r="CT30" s="190">
        <f>COUNTIFS(SEGUIMIENTO!$H$23:$H$122,"SD",SEGUIMIENTO!$Z$23:$Z$122,"11")</f>
        <v>0</v>
      </c>
      <c r="CU30" s="190">
        <f>COUNTIFS(SEGUIMIENTO!$H$23:$H$122,"SD",SEGUIMIENTO!$Z$23:$Z$122,"12")</f>
        <v>0</v>
      </c>
      <c r="CV30" s="190">
        <f>COUNTIFS(SEGUIMIENTO!$H$23:$H$122,"SD",SEGUIMIENTO!$Z$23:$Z$122,"13")</f>
        <v>0</v>
      </c>
      <c r="CW30" s="190">
        <f>COUNTIFS(SEGUIMIENTO!$H$23:$H$122,"SD",SEGUIMIENTO!$Z$23:$Z$122,"14")</f>
        <v>0</v>
      </c>
      <c r="CX30" s="190">
        <f>COUNTIFS(SEGUIMIENTO!$H$23:$H$122,"SD",SEGUIMIENTO!$Z$23:$Z$122,"15")</f>
        <v>0</v>
      </c>
      <c r="CY30" s="190">
        <f>COUNTIFS(SEGUIMIENTO!$H$23:$H$122,"SD",SEGUIMIENTO!$Z$23:$Z$122,"16")</f>
        <v>0</v>
      </c>
      <c r="CZ30" s="188">
        <f>COUNTIFS(SEGUIMIENTO!$H$23:$H$122,"SD",SEGUIMIENTO!$Z$23:$Z$122,"N/A")</f>
        <v>0</v>
      </c>
      <c r="DA30" s="533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U30" s="35"/>
      <c r="DV30" s="35"/>
      <c r="DW30" s="35"/>
      <c r="DX30" s="35"/>
      <c r="DY30" s="34">
        <v>15</v>
      </c>
      <c r="DZ30" s="34"/>
      <c r="EJ30" s="285"/>
    </row>
    <row r="31" spans="2:140" s="11" customFormat="1" ht="12.45" customHeight="1" thickBot="1" x14ac:dyDescent="0.25">
      <c r="B31" s="129"/>
      <c r="C31" s="311"/>
      <c r="D31" s="347" t="s">
        <v>90</v>
      </c>
      <c r="E31" s="348"/>
      <c r="F31" s="348"/>
      <c r="G31" s="348"/>
      <c r="H31" s="348"/>
      <c r="I31" s="348"/>
      <c r="J31" s="348"/>
      <c r="K31" s="348"/>
      <c r="L31" s="348"/>
      <c r="M31" s="144">
        <f>SUM(M24:M30)</f>
        <v>0</v>
      </c>
      <c r="N31" s="9"/>
      <c r="O31" s="9">
        <f>SUM(O24:O30)</f>
        <v>0</v>
      </c>
      <c r="P31" s="9">
        <f t="shared" ref="P31:T31" si="6">SUM(P24:P30)</f>
        <v>0</v>
      </c>
      <c r="Q31" s="9">
        <f t="shared" si="6"/>
        <v>0</v>
      </c>
      <c r="R31" s="9">
        <f t="shared" si="6"/>
        <v>0</v>
      </c>
      <c r="S31" s="9">
        <f t="shared" si="6"/>
        <v>0</v>
      </c>
      <c r="T31" s="9">
        <f t="shared" si="6"/>
        <v>0</v>
      </c>
      <c r="U31" s="142">
        <f>SUM(O31:T31)</f>
        <v>0</v>
      </c>
      <c r="V31" s="9"/>
      <c r="W31" s="10"/>
      <c r="X31" s="10"/>
      <c r="Y31" s="10"/>
      <c r="Z31" s="10"/>
      <c r="AA31" s="10"/>
      <c r="AB31" s="10"/>
      <c r="AC31" s="10"/>
      <c r="AD31" s="10"/>
      <c r="AE31" s="10"/>
      <c r="AF31" s="10">
        <f>SUM(AF24:AF30)</f>
        <v>0</v>
      </c>
      <c r="AG31" s="10">
        <f>SUM(AG24:AG30)</f>
        <v>0</v>
      </c>
      <c r="AH31" s="142">
        <f>SUM(AF31:AG31)</f>
        <v>0</v>
      </c>
      <c r="AI31" s="10"/>
      <c r="AJ31" s="10">
        <f>SUM(AJ24:AJ30)</f>
        <v>0</v>
      </c>
      <c r="AK31" s="10">
        <f>SUM(AK24:AK30)</f>
        <v>0</v>
      </c>
      <c r="AL31" s="10">
        <f>SUM(AL24:AL30)</f>
        <v>0</v>
      </c>
      <c r="AM31" s="10">
        <f>SUM(AM24:AM30)</f>
        <v>0</v>
      </c>
      <c r="AN31" s="10">
        <f>SUM(AN24:AN30)</f>
        <v>0</v>
      </c>
      <c r="AO31" s="10">
        <f t="shared" ref="AO31:AV31" si="7">SUM(AO24:AO30)</f>
        <v>0</v>
      </c>
      <c r="AP31" s="10">
        <f t="shared" si="7"/>
        <v>0</v>
      </c>
      <c r="AQ31" s="10">
        <f t="shared" si="7"/>
        <v>0</v>
      </c>
      <c r="AR31" s="10">
        <f t="shared" si="7"/>
        <v>0</v>
      </c>
      <c r="AS31" s="10">
        <f t="shared" si="7"/>
        <v>0</v>
      </c>
      <c r="AT31" s="10">
        <f t="shared" si="7"/>
        <v>0</v>
      </c>
      <c r="AU31" s="10">
        <f t="shared" si="7"/>
        <v>0</v>
      </c>
      <c r="AV31" s="143">
        <f t="shared" si="7"/>
        <v>0</v>
      </c>
      <c r="AW31" s="140">
        <f>SUM(AJ31:AU31)</f>
        <v>0</v>
      </c>
      <c r="AX31" s="10"/>
      <c r="AY31" s="142">
        <f>SUM(AY24:AY30)</f>
        <v>0</v>
      </c>
      <c r="AZ31" s="10"/>
      <c r="BA31" s="10">
        <f>SUM(BA24:BA30)</f>
        <v>0</v>
      </c>
      <c r="BB31" s="10">
        <f>SUM(BB24:BB30)</f>
        <v>0</v>
      </c>
      <c r="BC31" s="10">
        <f t="shared" ref="BC31:BH31" si="8">SUM(BC24:BC30)</f>
        <v>0</v>
      </c>
      <c r="BD31" s="10">
        <f t="shared" si="8"/>
        <v>0</v>
      </c>
      <c r="BE31" s="10">
        <f t="shared" si="8"/>
        <v>0</v>
      </c>
      <c r="BF31" s="10">
        <f t="shared" si="8"/>
        <v>0</v>
      </c>
      <c r="BG31" s="10">
        <f t="shared" si="8"/>
        <v>0</v>
      </c>
      <c r="BH31" s="143">
        <f t="shared" si="8"/>
        <v>0</v>
      </c>
      <c r="BI31" s="140">
        <f>SUM(BA31:BG31)</f>
        <v>0</v>
      </c>
      <c r="BJ31" s="10"/>
      <c r="BK31" s="10">
        <f>SUM(BK24:BK30)</f>
        <v>0</v>
      </c>
      <c r="BL31" s="10">
        <f>SUM(BL24:BL30)</f>
        <v>0</v>
      </c>
      <c r="BM31" s="10">
        <f>SUM(BM24:BM30)</f>
        <v>0</v>
      </c>
      <c r="BN31" s="10">
        <f>SUM(BN24:BN30)</f>
        <v>0</v>
      </c>
      <c r="BO31" s="10">
        <f>SUM(BO24:BO30)</f>
        <v>0</v>
      </c>
      <c r="BP31" s="10">
        <f>SUM(BP24:BP30)</f>
        <v>0</v>
      </c>
      <c r="BQ31" s="10">
        <f>SUM(BQ24:BQ30)</f>
        <v>0</v>
      </c>
      <c r="BR31" s="143">
        <f>SUM(BR24:BR30)</f>
        <v>0</v>
      </c>
      <c r="BS31" s="140">
        <f>SUM(BK31:BQ31)</f>
        <v>0</v>
      </c>
      <c r="BT31" s="534"/>
      <c r="BU31" s="10">
        <f>SUM(BU24:BU30)</f>
        <v>0</v>
      </c>
      <c r="BV31" s="10">
        <f>SUM(BV24:BV30)</f>
        <v>0</v>
      </c>
      <c r="BW31" s="142">
        <f>SUM(BU31:BV31)</f>
        <v>0</v>
      </c>
      <c r="BX31" s="534"/>
      <c r="BY31" s="10">
        <f t="shared" ref="BY31" si="9">SUM(BY24:BY30)</f>
        <v>0</v>
      </c>
      <c r="BZ31" s="10">
        <f t="shared" ref="BZ31" si="10">SUM(BZ24:BZ30)</f>
        <v>0</v>
      </c>
      <c r="CA31" s="10">
        <f t="shared" ref="CA31" si="11">SUM(CA24:CA30)</f>
        <v>0</v>
      </c>
      <c r="CB31" s="10">
        <f t="shared" ref="CB31" si="12">SUM(CB24:CB30)</f>
        <v>0</v>
      </c>
      <c r="CC31" s="10">
        <f t="shared" ref="CC31" si="13">SUM(CC24:CC30)</f>
        <v>0</v>
      </c>
      <c r="CD31" s="10">
        <f t="shared" ref="CD31" si="14">SUM(CD24:CD30)</f>
        <v>0</v>
      </c>
      <c r="CE31" s="10">
        <f t="shared" ref="CE31" si="15">SUM(CE24:CE30)</f>
        <v>0</v>
      </c>
      <c r="CF31" s="10">
        <f t="shared" ref="CF31" si="16">SUM(CF24:CF30)</f>
        <v>0</v>
      </c>
      <c r="CG31" s="10">
        <f t="shared" ref="CG31" si="17">SUM(CG24:CG30)</f>
        <v>0</v>
      </c>
      <c r="CH31" s="142">
        <f>SUM(BY31:CG31)</f>
        <v>0</v>
      </c>
      <c r="CI31" s="534"/>
      <c r="CJ31" s="10">
        <f>SUM(CJ24:CJ30)</f>
        <v>0</v>
      </c>
      <c r="CK31" s="10">
        <f t="shared" ref="CK31:CZ31" si="18">SUM(CK24:CK30)</f>
        <v>0</v>
      </c>
      <c r="CL31" s="10">
        <f t="shared" si="18"/>
        <v>0</v>
      </c>
      <c r="CM31" s="10">
        <f t="shared" si="18"/>
        <v>0</v>
      </c>
      <c r="CN31" s="10">
        <f t="shared" si="18"/>
        <v>0</v>
      </c>
      <c r="CO31" s="10">
        <f t="shared" si="18"/>
        <v>0</v>
      </c>
      <c r="CP31" s="10">
        <f t="shared" si="18"/>
        <v>0</v>
      </c>
      <c r="CQ31" s="10">
        <f t="shared" si="18"/>
        <v>0</v>
      </c>
      <c r="CR31" s="10">
        <f t="shared" si="18"/>
        <v>0</v>
      </c>
      <c r="CS31" s="10">
        <f t="shared" si="18"/>
        <v>0</v>
      </c>
      <c r="CT31" s="10">
        <f t="shared" si="18"/>
        <v>0</v>
      </c>
      <c r="CU31" s="10">
        <f t="shared" si="18"/>
        <v>0</v>
      </c>
      <c r="CV31" s="10">
        <f t="shared" si="18"/>
        <v>0</v>
      </c>
      <c r="CW31" s="10">
        <f t="shared" si="18"/>
        <v>0</v>
      </c>
      <c r="CX31" s="10">
        <f t="shared" si="18"/>
        <v>0</v>
      </c>
      <c r="CY31" s="10">
        <f t="shared" si="18"/>
        <v>0</v>
      </c>
      <c r="CZ31" s="143">
        <f t="shared" si="18"/>
        <v>0</v>
      </c>
      <c r="DA31" s="140">
        <f>SUM(CJ31:CY31)</f>
        <v>0</v>
      </c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Y31" s="34">
        <v>16</v>
      </c>
      <c r="DZ31" s="34"/>
      <c r="EJ31" s="285"/>
    </row>
    <row r="32" spans="2:140" s="11" customFormat="1" ht="10.050000000000001" customHeight="1" thickBot="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9"/>
      <c r="O32" s="9"/>
      <c r="P32" s="9"/>
      <c r="Q32" s="9"/>
      <c r="R32" s="9"/>
      <c r="S32" s="9"/>
      <c r="T32" s="9"/>
      <c r="U32" s="9"/>
      <c r="V32" s="9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10"/>
      <c r="BZ32" s="10"/>
      <c r="CA32" s="10"/>
      <c r="CB32" s="10"/>
      <c r="CC32" s="10"/>
      <c r="CD32" s="10"/>
      <c r="CE32" s="10"/>
      <c r="CF32" s="10"/>
      <c r="CG32" s="10"/>
      <c r="CH32" s="5"/>
      <c r="CI32" s="5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Y32" s="11" t="s">
        <v>78</v>
      </c>
      <c r="DZ32" s="34"/>
      <c r="EB32" s="36"/>
      <c r="EJ32" s="407"/>
    </row>
    <row r="33" spans="2:140" s="11" customFormat="1" ht="12.45" customHeight="1" x14ac:dyDescent="0.2">
      <c r="B33" s="111" t="s">
        <v>30</v>
      </c>
      <c r="C33" s="114"/>
      <c r="D33" s="294" t="s">
        <v>51</v>
      </c>
      <c r="E33" s="307"/>
      <c r="F33" s="307"/>
      <c r="G33" s="307"/>
      <c r="H33" s="307"/>
      <c r="I33" s="307"/>
      <c r="J33" s="307"/>
      <c r="K33" s="307"/>
      <c r="L33" s="307"/>
      <c r="M33" s="171">
        <f>COUNTIF(SEGUIMIENTO!J23:J122,"M")</f>
        <v>0</v>
      </c>
      <c r="N33" s="23"/>
      <c r="O33" s="169">
        <f>+$AF16</f>
        <v>0</v>
      </c>
      <c r="P33" s="158">
        <f>+$AF17</f>
        <v>0</v>
      </c>
      <c r="Q33" s="184">
        <f>+$AF18</f>
        <v>0</v>
      </c>
      <c r="R33" s="158">
        <f>+$AF19</f>
        <v>0</v>
      </c>
      <c r="S33" s="186">
        <f>+$AF20</f>
        <v>0</v>
      </c>
      <c r="T33" s="159">
        <f>+$AF21</f>
        <v>0</v>
      </c>
      <c r="U33" s="22"/>
      <c r="V33" s="22"/>
      <c r="W33" s="169">
        <f>+AF24</f>
        <v>0</v>
      </c>
      <c r="X33" s="158">
        <f>+AF25</f>
        <v>0</v>
      </c>
      <c r="Y33" s="184">
        <f>+AF26</f>
        <v>0</v>
      </c>
      <c r="Z33" s="158">
        <f>+AF27</f>
        <v>0</v>
      </c>
      <c r="AA33" s="186">
        <f>+AF28</f>
        <v>0</v>
      </c>
      <c r="AB33" s="158">
        <f>+AF29</f>
        <v>0</v>
      </c>
      <c r="AC33" s="191">
        <f>+AF30</f>
        <v>0</v>
      </c>
      <c r="AD33" s="22"/>
      <c r="AE33" s="22"/>
      <c r="AF33" s="156"/>
      <c r="AG33" s="156"/>
      <c r="AH33" s="22"/>
      <c r="AI33" s="22"/>
      <c r="AJ33" s="169">
        <f>COUNTIFS(SEGUIMIENTO!$J$23:$J$122,"M",SEGUIMIENTO!$K$23:$K$122,"SI")</f>
        <v>0</v>
      </c>
      <c r="AK33" s="170">
        <f>COUNTIFS(SEGUIMIENTO!$J$23:$J$122,"M",SEGUIMIENTO!$L$23:$L$122,"SI")</f>
        <v>0</v>
      </c>
      <c r="AL33" s="170">
        <f>COUNTIFS(SEGUIMIENTO!$J$23:$J$122,"M",SEGUIMIENTO!$M$23:$M$122,"SI")</f>
        <v>0</v>
      </c>
      <c r="AM33" s="170">
        <f>COUNTIFS(SEGUIMIENTO!$J$23:$J$122,"M",SEGUIMIENTO!$N$23:$N$122,"SI")</f>
        <v>0</v>
      </c>
      <c r="AN33" s="170">
        <f>COUNTIFS(SEGUIMIENTO!$J$23:$J$122,"M",SEGUIMIENTO!$O$23:$O$122,"SI")</f>
        <v>0</v>
      </c>
      <c r="AO33" s="170">
        <f>COUNTIFS(SEGUIMIENTO!$J$23:$J$122,"M",SEGUIMIENTO!$P$23:$P$122,"SI")</f>
        <v>0</v>
      </c>
      <c r="AP33" s="170">
        <f>COUNTIFS(SEGUIMIENTO!$J$23:$J$122,"M",SEGUIMIENTO!$Q$23:$Q$122,"SI")</f>
        <v>0</v>
      </c>
      <c r="AQ33" s="170">
        <f>COUNTIFS(SEGUIMIENTO!$J$23:$J$122,"M",SEGUIMIENTO!$R$23:$R$122,"SI")</f>
        <v>0</v>
      </c>
      <c r="AR33" s="170">
        <f>COUNTIFS(SEGUIMIENTO!$J$23:$J$122,"M",SEGUIMIENTO!$S$23:$S$122,"SI")</f>
        <v>0</v>
      </c>
      <c r="AS33" s="170">
        <f>COUNTIFS(SEGUIMIENTO!$J$23:$J$122,"M",SEGUIMIENTO!$T$23:$T$122,"SI")</f>
        <v>0</v>
      </c>
      <c r="AT33" s="170">
        <f>COUNTIFS(SEGUIMIENTO!$J$23:$J$122,"M",SEGUIMIENTO!$U$23:$U$122,"SI")</f>
        <v>0</v>
      </c>
      <c r="AU33" s="170">
        <f>COUNTIFS(SEGUIMIENTO!$J$23:$J$122,"M",SEGUIMIENTO!$V$23:$V$122,"SI")</f>
        <v>0</v>
      </c>
      <c r="AV33" s="171">
        <f>COUNTIFS(SEGUIMIENTO!$J$23:$J$122,"M",SEGUIMIENTO!$W$23:$W$122,"SI")</f>
        <v>0</v>
      </c>
      <c r="AW33" s="22"/>
      <c r="AX33" s="22"/>
      <c r="AY33" s="192">
        <f>COUNTIFS(SEGUIMIENTO!$J$23:$J$122,"M",SEGUIMIENTO!X$23:X$122,"SI")</f>
        <v>0</v>
      </c>
      <c r="AZ33" s="10"/>
      <c r="BA33" s="169">
        <f>COUNTIFS(SEGUIMIENTO!$J$23:$J$122,"M",SEGUIMIENTO!$Y$23:$Y$122,"I-MB")</f>
        <v>0</v>
      </c>
      <c r="BB33" s="170">
        <f>COUNTIFS(SEGUIMIENTO!$J$23:$J$122,"M",SEGUIMIENTO!$Y$23:$Y$122,"I-U")</f>
        <v>0</v>
      </c>
      <c r="BC33" s="170">
        <f>COUNTIFS(SEGUIMIENTO!$J$23:$J$122,"M",SEGUIMIENTO!$Y$23:$Y$122,"I-I")</f>
        <v>0</v>
      </c>
      <c r="BD33" s="170">
        <f>COUNTIFS(SEGUIMIENTO!$J$23:$J$122,"M",SEGUIMIENTO!$Y$23:$Y$122,"I-K")</f>
        <v>0</v>
      </c>
      <c r="BE33" s="170">
        <f>COUNTIFS(SEGUIMIENTO!$J$23:$J$122,"M",SEGUIMIENTO!$Y$23:$Y$122,"I-FD")</f>
        <v>0</v>
      </c>
      <c r="BF33" s="170">
        <f>COUNTIFS(SEGUIMIENTO!$J$23:$J$122,"M",SEGUIMIENTO!$Y$23:$Y$122,"A")</f>
        <v>0</v>
      </c>
      <c r="BG33" s="170">
        <f>COUNTIFS(SEGUIMIENTO!$J$23:$J$122,"M",SEGUIMIENTO!$Y$23:$Y$122,"R")</f>
        <v>0</v>
      </c>
      <c r="BH33" s="171">
        <f>COUNTIFS(SEGUIMIENTO!$J$23:$J$122,"M",SEGUIMIENTO!$Y$23:$Y$122,"N/A")</f>
        <v>0</v>
      </c>
      <c r="BI33" s="22"/>
      <c r="BJ33" s="22"/>
      <c r="BK33" s="169">
        <f>COUNTIFS(SEGUIMIENTO!$J$23:$J$122,"M",SEGUIMIENTO!$AA$23:$AA$122,"JAC")</f>
        <v>0</v>
      </c>
      <c r="BL33" s="170">
        <f>COUNTIFS(SEGUIMIENTO!$J$23:$J$122,"M",SEGUIMIENTO!$AA$23:$AA$122,"JAL")</f>
        <v>0</v>
      </c>
      <c r="BM33" s="170">
        <f>COUNTIFS(SEGUIMIENTO!$J$23:$J$122,"M",SEGUIMIENTO!$AA$23:$AA$122,"AMB")</f>
        <v>0</v>
      </c>
      <c r="BN33" s="170">
        <f>COUNTIFS(SEGUIMIENTO!$J$23:$J$122,"M",SEGUIMIENTO!$AA$23:$AA$122,"DDHH")</f>
        <v>0</v>
      </c>
      <c r="BO33" s="170">
        <f>COUNTIFS(SEGUIMIENTO!$J$23:$J$122,"M",SEGUIMIENTO!$AA$23:$AA$122,"SIND")</f>
        <v>0</v>
      </c>
      <c r="BP33" s="170">
        <f>COUNTIFS(SEGUIMIENTO!$J$23:$J$122,"M",SEGUIMIENTO!$AA$23:$AA$122,"REL")</f>
        <v>0</v>
      </c>
      <c r="BQ33" s="170">
        <f>COUNTIFS(SEGUIMIENTO!$J$23:$J$122,"M",SEGUIMIENTO!$AA$23:$AA$122,"OTR")</f>
        <v>0</v>
      </c>
      <c r="BR33" s="171">
        <f>COUNTIFS(SEGUIMIENTO!$J$23:$J$122,"M",SEGUIMIENTO!$AA$23:$AA$122,"N/A")</f>
        <v>0</v>
      </c>
      <c r="BS33" s="22"/>
      <c r="BT33" s="22"/>
      <c r="BU33" s="169">
        <f>COUNTIFS(SEGUIMIENTO!$J$23:$J$122,"M",SEGUIMIENTO!$AB$23:$AB$122,"RUR")</f>
        <v>0</v>
      </c>
      <c r="BV33" s="171">
        <f>COUNTIFS(SEGUIMIENTO!$J$23:$J$122,"M",SEGUIMIENTO!$AB$23:$AB$122,"URB")</f>
        <v>0</v>
      </c>
      <c r="BW33" s="22"/>
      <c r="BX33" s="22"/>
      <c r="BY33" s="169">
        <f>COUNTIFS(SEGUIMIENTO!$J$23:$J$122,"M",SEGUIMIENTO!$AD$23:$AD$122,"1")</f>
        <v>0</v>
      </c>
      <c r="BZ33" s="170">
        <f>COUNTIFS(SEGUIMIENTO!$J$23:$J$122,"M",SEGUIMIENTO!$AD$23:$AD$122,"2")</f>
        <v>0</v>
      </c>
      <c r="CA33" s="170">
        <f>COUNTIFS(SEGUIMIENTO!$J$23:$J$122,"M",SEGUIMIENTO!$AD$23:$AD$122,"3")</f>
        <v>0</v>
      </c>
      <c r="CB33" s="170">
        <f>COUNTIFS(SEGUIMIENTO!$J$23:$J$122,"M",SEGUIMIENTO!$AD$23:$AD$122,"4")</f>
        <v>0</v>
      </c>
      <c r="CC33" s="170">
        <f>COUNTIFS(SEGUIMIENTO!$J$23:$J$122,"M",SEGUIMIENTO!$AD$23:$AD$122,"5")</f>
        <v>0</v>
      </c>
      <c r="CD33" s="170">
        <f>COUNTIFS(SEGUIMIENTO!$J$23:$J$122,"M",SEGUIMIENTO!$AD$23:$AD$122,"6")</f>
        <v>0</v>
      </c>
      <c r="CE33" s="170">
        <f>COUNTIFS(SEGUIMIENTO!$J$23:$J$122,"M",SEGUIMIENTO!$AD$23:$AD$122,"7")</f>
        <v>0</v>
      </c>
      <c r="CF33" s="170">
        <f>COUNTIFS(SEGUIMIENTO!$J$23:$J$122,"M",SEGUIMIENTO!$AD$23:$AD$122,"8")</f>
        <v>0</v>
      </c>
      <c r="CG33" s="171">
        <f>COUNTIFS(SEGUIMIENTO!$J$23:$J$122,"M",SEGUIMIENTO!$AD$23:$AD$122,"9")</f>
        <v>0</v>
      </c>
      <c r="CH33" s="22"/>
      <c r="CI33" s="22"/>
      <c r="CJ33" s="169">
        <f>COUNTIFS(SEGUIMIENTO!$J$23:$J$122,"M",SEGUIMIENTO!$Z$23:$Z$122,"1")</f>
        <v>0</v>
      </c>
      <c r="CK33" s="170">
        <f>COUNTIFS(SEGUIMIENTO!$J$23:$J$122,"M",SEGUIMIENTO!$Z$23:$Z$122,"2")</f>
        <v>0</v>
      </c>
      <c r="CL33" s="170">
        <f>COUNTIFS(SEGUIMIENTO!$J$23:$J$122,"M",SEGUIMIENTO!$Z$23:$Z$122,"3")</f>
        <v>0</v>
      </c>
      <c r="CM33" s="170">
        <f>COUNTIFS(SEGUIMIENTO!$J$23:$J$122,"M",SEGUIMIENTO!$Z$23:$Z$122,"4")</f>
        <v>0</v>
      </c>
      <c r="CN33" s="170">
        <f>COUNTIFS(SEGUIMIENTO!$J$23:$J$122,"M",SEGUIMIENTO!$Z$23:$Z$122,"5")</f>
        <v>0</v>
      </c>
      <c r="CO33" s="170">
        <f>COUNTIFS(SEGUIMIENTO!$J$23:$J$122,"M",SEGUIMIENTO!$Z$23:$Z$122,"6")</f>
        <v>0</v>
      </c>
      <c r="CP33" s="170">
        <f>COUNTIFS(SEGUIMIENTO!$J$23:$J$122,"M",SEGUIMIENTO!$Z$23:$Z$122,"7")</f>
        <v>0</v>
      </c>
      <c r="CQ33" s="170">
        <f>COUNTIFS(SEGUIMIENTO!$J$23:$J$122,"M",SEGUIMIENTO!$Z$23:$Z$122,"8")</f>
        <v>0</v>
      </c>
      <c r="CR33" s="170">
        <f>COUNTIFS(SEGUIMIENTO!$J$23:$J$122,"M",SEGUIMIENTO!$Z$23:$Z$122,"9")</f>
        <v>0</v>
      </c>
      <c r="CS33" s="170">
        <f>COUNTIFS(SEGUIMIENTO!$J$23:$J$122,"M",SEGUIMIENTO!$Z$23:$Z$122,"10")</f>
        <v>0</v>
      </c>
      <c r="CT33" s="170">
        <f>COUNTIFS(SEGUIMIENTO!$J$23:$J$122,"M",SEGUIMIENTO!$Z$23:$Z$122,"11")</f>
        <v>0</v>
      </c>
      <c r="CU33" s="170">
        <f>COUNTIFS(SEGUIMIENTO!$J$23:$J$122,"M",SEGUIMIENTO!$Z$23:$Z$122,"12")</f>
        <v>0</v>
      </c>
      <c r="CV33" s="170">
        <f>COUNTIFS(SEGUIMIENTO!$J$23:$J$122,"M",SEGUIMIENTO!$Z$23:$Z$122,"13")</f>
        <v>0</v>
      </c>
      <c r="CW33" s="170">
        <f>COUNTIFS(SEGUIMIENTO!$J$23:$J$122,"M",SEGUIMIENTO!$Z$23:$Z$122,"14")</f>
        <v>0</v>
      </c>
      <c r="CX33" s="170">
        <f>COUNTIFS(SEGUIMIENTO!$J$23:$J$122,"M",SEGUIMIENTO!$Z$23:$Z$122,"15")</f>
        <v>0</v>
      </c>
      <c r="CY33" s="170">
        <f>COUNTIFS(SEGUIMIENTO!$J$23:$J$122,"M",SEGUIMIENTO!$Z$23:$Z$122,"16")</f>
        <v>0</v>
      </c>
      <c r="CZ33" s="171">
        <f>COUNTIFS(SEGUIMIENTO!$J$23:$J$122,"M",SEGUIMIENTO!$Z$23:$Z$122,"N/A")</f>
        <v>0</v>
      </c>
      <c r="DA33" s="533"/>
      <c r="DB33" s="5"/>
      <c r="DC33" s="5"/>
      <c r="DD33" s="5"/>
      <c r="DE33" s="5"/>
      <c r="DF33" s="5"/>
      <c r="DG33" s="5"/>
      <c r="DH33" s="5"/>
      <c r="DI33" s="5"/>
      <c r="DJ33" s="5"/>
      <c r="DK33" s="10"/>
      <c r="DL33" s="5"/>
      <c r="DM33" s="535"/>
      <c r="DN33" s="5"/>
      <c r="DO33" s="5"/>
      <c r="DP33" s="5"/>
      <c r="DQ33" s="5"/>
      <c r="DR33" s="5"/>
      <c r="DS33" s="5"/>
      <c r="EJ33" s="5"/>
    </row>
    <row r="34" spans="2:140" s="11" customFormat="1" ht="12.45" customHeight="1" thickBot="1" x14ac:dyDescent="0.25">
      <c r="B34" s="112"/>
      <c r="C34" s="115"/>
      <c r="D34" s="86" t="s">
        <v>52</v>
      </c>
      <c r="E34" s="345"/>
      <c r="F34" s="345"/>
      <c r="G34" s="345"/>
      <c r="H34" s="345"/>
      <c r="I34" s="345"/>
      <c r="J34" s="345"/>
      <c r="K34" s="345"/>
      <c r="L34" s="345"/>
      <c r="M34" s="20">
        <f>COUNTIF(SEGUIMIENTO!J23:J122,"F")</f>
        <v>0</v>
      </c>
      <c r="N34" s="23"/>
      <c r="O34" s="183">
        <f>+$AG16</f>
        <v>0</v>
      </c>
      <c r="P34" s="153">
        <f>+$AG17</f>
        <v>0</v>
      </c>
      <c r="Q34" s="185">
        <f>+$AG18</f>
        <v>0</v>
      </c>
      <c r="R34" s="153">
        <f>+$AG19</f>
        <v>0</v>
      </c>
      <c r="S34" s="187">
        <f>+$AG20</f>
        <v>0</v>
      </c>
      <c r="T34" s="154">
        <f>+$AG21</f>
        <v>0</v>
      </c>
      <c r="U34" s="22"/>
      <c r="V34" s="22"/>
      <c r="W34" s="183">
        <f>+AG24</f>
        <v>0</v>
      </c>
      <c r="X34" s="153">
        <f>+AG25</f>
        <v>0</v>
      </c>
      <c r="Y34" s="185">
        <f>+AG26</f>
        <v>0</v>
      </c>
      <c r="Z34" s="153">
        <f>+AG27</f>
        <v>0</v>
      </c>
      <c r="AA34" s="187">
        <f>+AG28</f>
        <v>0</v>
      </c>
      <c r="AB34" s="153">
        <f>+AG29</f>
        <v>0</v>
      </c>
      <c r="AC34" s="188">
        <f>+AG30</f>
        <v>0</v>
      </c>
      <c r="AD34" s="22"/>
      <c r="AE34" s="22"/>
      <c r="AF34" s="156"/>
      <c r="AG34" s="156"/>
      <c r="AH34" s="22"/>
      <c r="AI34" s="22"/>
      <c r="AJ34" s="18">
        <f>COUNTIFS(SEGUIMIENTO!$J$23:$J$122,"F",SEGUIMIENTO!$K$23:$K$122,"SI")</f>
        <v>0</v>
      </c>
      <c r="AK34" s="19">
        <f>COUNTIFS(SEGUIMIENTO!$J$23:$J$122,"F",SEGUIMIENTO!$L$23:$L$122,"SI")</f>
        <v>0</v>
      </c>
      <c r="AL34" s="19">
        <f>COUNTIFS(SEGUIMIENTO!$J$23:$J$122,"F",SEGUIMIENTO!$M$23:$M$122,"SI")</f>
        <v>0</v>
      </c>
      <c r="AM34" s="19">
        <f>COUNTIFS(SEGUIMIENTO!$J$23:$J$122,"F",SEGUIMIENTO!$N$23:$N$122,"SI")</f>
        <v>0</v>
      </c>
      <c r="AN34" s="19">
        <f>COUNTIFS(SEGUIMIENTO!$J$23:$J$122,"F",SEGUIMIENTO!$O$23:$O$122,"SI")</f>
        <v>0</v>
      </c>
      <c r="AO34" s="19">
        <f>COUNTIFS(SEGUIMIENTO!$J$23:$J$122,"F",SEGUIMIENTO!$P$23:$P$122,"SI")</f>
        <v>0</v>
      </c>
      <c r="AP34" s="19">
        <f>COUNTIFS(SEGUIMIENTO!$J$23:$J$122,"F",SEGUIMIENTO!$Q$23:$Q$122,"SI")</f>
        <v>0</v>
      </c>
      <c r="AQ34" s="19">
        <f>COUNTIFS(SEGUIMIENTO!$J$23:$J$122,"F",SEGUIMIENTO!$R$23:$R$122,"SI")</f>
        <v>0</v>
      </c>
      <c r="AR34" s="19">
        <f>COUNTIFS(SEGUIMIENTO!$J$23:$J$122,"F",SEGUIMIENTO!$S$23:$S$122,"SI")</f>
        <v>0</v>
      </c>
      <c r="AS34" s="19">
        <f>COUNTIFS(SEGUIMIENTO!$J$23:$J$122,"F",SEGUIMIENTO!$T$23:$T$122,"SI")</f>
        <v>0</v>
      </c>
      <c r="AT34" s="19">
        <f>COUNTIFS(SEGUIMIENTO!$J$23:$J$122,"F",SEGUIMIENTO!$U$23:$U$122,"SI")</f>
        <v>0</v>
      </c>
      <c r="AU34" s="19">
        <f>COUNTIFS(SEGUIMIENTO!$J$23:$J$122,"F",SEGUIMIENTO!$V$23:$V$122,"SI")</f>
        <v>0</v>
      </c>
      <c r="AV34" s="20">
        <f>COUNTIFS(SEGUIMIENTO!$J$23:$J$122,"F",SEGUIMIENTO!$W$23:$W$122,"SI")</f>
        <v>0</v>
      </c>
      <c r="AW34" s="22"/>
      <c r="AX34" s="22"/>
      <c r="AY34" s="21">
        <f>COUNTIFS(SEGUIMIENTO!$J$23:$J$122,"F",SEGUIMIENTO!X$23:X$122,"SI")</f>
        <v>0</v>
      </c>
      <c r="AZ34" s="10"/>
      <c r="BA34" s="18">
        <f>COUNTIFS(SEGUIMIENTO!$J$23:$J$122,"F",SEGUIMIENTO!$Y$23:$Y$122,"I-MB")</f>
        <v>0</v>
      </c>
      <c r="BB34" s="19">
        <f>COUNTIFS(SEGUIMIENTO!$J$23:$J$122,"F",SEGUIMIENTO!$Y$23:$Y$122,"I-U")</f>
        <v>0</v>
      </c>
      <c r="BC34" s="19">
        <f>COUNTIFS(SEGUIMIENTO!$J$23:$J$122,"F",SEGUIMIENTO!$Y$23:$Y$122,"I-I")</f>
        <v>0</v>
      </c>
      <c r="BD34" s="19">
        <f>COUNTIFS(SEGUIMIENTO!$J$23:$J$122,"F",SEGUIMIENTO!$Y$23:$Y$122,"I-K")</f>
        <v>0</v>
      </c>
      <c r="BE34" s="19">
        <f>COUNTIFS(SEGUIMIENTO!$J$23:$J$122,"F",SEGUIMIENTO!$Y$23:$Y$122,"I-FD")</f>
        <v>0</v>
      </c>
      <c r="BF34" s="19">
        <f>COUNTIFS(SEGUIMIENTO!$J$23:$J$122,"F",SEGUIMIENTO!$Y$23:$Y$122,"A")</f>
        <v>0</v>
      </c>
      <c r="BG34" s="19">
        <f>COUNTIFS(SEGUIMIENTO!$J$23:$J$122,"F",SEGUIMIENTO!$Y$23:$Y$122,"R")</f>
        <v>0</v>
      </c>
      <c r="BH34" s="20">
        <f>COUNTIFS(SEGUIMIENTO!$J$23:$J$122,"F",SEGUIMIENTO!$Y$23:$Y$122,"N/A")</f>
        <v>0</v>
      </c>
      <c r="BI34" s="22"/>
      <c r="BJ34" s="22"/>
      <c r="BK34" s="18">
        <f>COUNTIFS(SEGUIMIENTO!$J$23:$J$122,"F",SEGUIMIENTO!$AA$23:$AA$122,"JAC")</f>
        <v>0</v>
      </c>
      <c r="BL34" s="19">
        <f>COUNTIFS(SEGUIMIENTO!$J$23:$J$122,"F",SEGUIMIENTO!$AA$23:$AA$122,"JAL")</f>
        <v>0</v>
      </c>
      <c r="BM34" s="19">
        <f>COUNTIFS(SEGUIMIENTO!$J$23:$J$122,"F",SEGUIMIENTO!$AA$23:$AA$122,"AMB")</f>
        <v>0</v>
      </c>
      <c r="BN34" s="19">
        <f>COUNTIFS(SEGUIMIENTO!$J$23:$J$122,"F",SEGUIMIENTO!$AA$23:$AA$122,"DDHH")</f>
        <v>0</v>
      </c>
      <c r="BO34" s="19">
        <f>COUNTIFS(SEGUIMIENTO!$J$23:$J$122,"F",SEGUIMIENTO!$AA$23:$AA$122,"SIND")</f>
        <v>0</v>
      </c>
      <c r="BP34" s="19">
        <f>COUNTIFS(SEGUIMIENTO!$J$23:$J$122,"F",SEGUIMIENTO!$AA$23:$AA$122,"REL")</f>
        <v>0</v>
      </c>
      <c r="BQ34" s="19">
        <f>COUNTIFS(SEGUIMIENTO!$J$23:$J$122,"F",SEGUIMIENTO!$AA$23:$AA$122,"OTR")</f>
        <v>0</v>
      </c>
      <c r="BR34" s="20">
        <f>COUNTIFS(SEGUIMIENTO!$J$23:$J$122,"F",SEGUIMIENTO!$AA$23:$AA$122,"N/A")</f>
        <v>0</v>
      </c>
      <c r="BS34" s="22"/>
      <c r="BT34" s="22"/>
      <c r="BU34" s="18">
        <f>COUNTIFS(SEGUIMIENTO!$J$23:$J$122,"F",SEGUIMIENTO!$AB$23:$AB$122,"RUR")</f>
        <v>0</v>
      </c>
      <c r="BV34" s="20">
        <f>COUNTIFS(SEGUIMIENTO!$J$23:$J$122,"F",SEGUIMIENTO!$AB$23:$AB$122,"URB")</f>
        <v>0</v>
      </c>
      <c r="BW34" s="22"/>
      <c r="BX34" s="22"/>
      <c r="BY34" s="18">
        <f>COUNTIFS(SEGUIMIENTO!$J$23:$J$122,"F",SEGUIMIENTO!$AD$23:$AD$122,"1")</f>
        <v>0</v>
      </c>
      <c r="BZ34" s="19">
        <f>COUNTIFS(SEGUIMIENTO!$J$23:$J$122,"F",SEGUIMIENTO!$AD$23:$AD$122,"2")</f>
        <v>0</v>
      </c>
      <c r="CA34" s="19">
        <f>COUNTIFS(SEGUIMIENTO!$J$23:$J$122,"F",SEGUIMIENTO!$AD$23:$AD$122,"3")</f>
        <v>0</v>
      </c>
      <c r="CB34" s="19">
        <f>COUNTIFS(SEGUIMIENTO!$J$23:$J$122,"F",SEGUIMIENTO!$AD$23:$AD$122,"4")</f>
        <v>0</v>
      </c>
      <c r="CC34" s="19">
        <f>COUNTIFS(SEGUIMIENTO!$J$23:$J$122,"F",SEGUIMIENTO!$AD$23:$AD$122,"5")</f>
        <v>0</v>
      </c>
      <c r="CD34" s="19">
        <f>COUNTIFS(SEGUIMIENTO!$J$23:$J$122,"F",SEGUIMIENTO!$AD$23:$AD$122,"6")</f>
        <v>0</v>
      </c>
      <c r="CE34" s="19">
        <f>COUNTIFS(SEGUIMIENTO!$J$23:$J$122,"F",SEGUIMIENTO!$AD$23:$AD$122,"7")</f>
        <v>0</v>
      </c>
      <c r="CF34" s="19">
        <f>COUNTIFS(SEGUIMIENTO!$J$23:$J$122,"F",SEGUIMIENTO!$AD$23:$AD$122,"8")</f>
        <v>0</v>
      </c>
      <c r="CG34" s="20">
        <f>COUNTIFS(SEGUIMIENTO!$J$23:$J$122,"F",SEGUIMIENTO!$AD$23:$AD$122,"9")</f>
        <v>0</v>
      </c>
      <c r="CH34" s="22"/>
      <c r="CI34" s="22"/>
      <c r="CJ34" s="18">
        <f>COUNTIFS(SEGUIMIENTO!$J$23:$J$122,"F",SEGUIMIENTO!$Z$23:$Z$122,"1")</f>
        <v>0</v>
      </c>
      <c r="CK34" s="19">
        <f>COUNTIFS(SEGUIMIENTO!$J$23:$J$122,"F",SEGUIMIENTO!$Z$23:$Z$122,"2")</f>
        <v>0</v>
      </c>
      <c r="CL34" s="19">
        <f>COUNTIFS(SEGUIMIENTO!$J$23:$J$122,"F",SEGUIMIENTO!$Z$23:$Z$122,"3")</f>
        <v>0</v>
      </c>
      <c r="CM34" s="19">
        <f>COUNTIFS(SEGUIMIENTO!$J$23:$J$122,"F",SEGUIMIENTO!$Z$23:$Z$122,"4")</f>
        <v>0</v>
      </c>
      <c r="CN34" s="19">
        <f>COUNTIFS(SEGUIMIENTO!$J$23:$J$122,"F",SEGUIMIENTO!$Z$23:$Z$122,"5")</f>
        <v>0</v>
      </c>
      <c r="CO34" s="19">
        <f>COUNTIFS(SEGUIMIENTO!$J$23:$J$122,"F",SEGUIMIENTO!$Z$23:$Z$122,"6")</f>
        <v>0</v>
      </c>
      <c r="CP34" s="19">
        <f>COUNTIFS(SEGUIMIENTO!$J$23:$J$122,"F",SEGUIMIENTO!$Z$23:$Z$122,"7")</f>
        <v>0</v>
      </c>
      <c r="CQ34" s="19">
        <f>COUNTIFS(SEGUIMIENTO!$J$23:$J$122,"F",SEGUIMIENTO!$Z$23:$Z$122,"8")</f>
        <v>0</v>
      </c>
      <c r="CR34" s="19">
        <f>COUNTIFS(SEGUIMIENTO!$J$23:$J$122,"F",SEGUIMIENTO!$Z$23:$Z$122,"9")</f>
        <v>0</v>
      </c>
      <c r="CS34" s="19">
        <f>COUNTIFS(SEGUIMIENTO!$J$23:$J$122,"F",SEGUIMIENTO!$Z$23:$Z$122,"10")</f>
        <v>0</v>
      </c>
      <c r="CT34" s="19">
        <f>COUNTIFS(SEGUIMIENTO!$J$23:$J$122,"F",SEGUIMIENTO!$Z$23:$Z$122,"11")</f>
        <v>0</v>
      </c>
      <c r="CU34" s="19">
        <f>COUNTIFS(SEGUIMIENTO!$J$23:$J$122,"F",SEGUIMIENTO!$Z$23:$Z$122,"12")</f>
        <v>0</v>
      </c>
      <c r="CV34" s="19">
        <f>COUNTIFS(SEGUIMIENTO!$J$23:$J$122,"F",SEGUIMIENTO!$Z$23:$Z$122,"13")</f>
        <v>0</v>
      </c>
      <c r="CW34" s="19">
        <f>COUNTIFS(SEGUIMIENTO!$J$23:$J$122,"F",SEGUIMIENTO!$Z$23:$Z$122,"14")</f>
        <v>0</v>
      </c>
      <c r="CX34" s="19">
        <f>COUNTIFS(SEGUIMIENTO!$J$23:$J$122,"F",SEGUIMIENTO!$Z$23:$Z$122,"15")</f>
        <v>0</v>
      </c>
      <c r="CY34" s="19">
        <f>COUNTIFS(SEGUIMIENTO!$J$23:$J$122,"F",SEGUIMIENTO!$Z$23:$Z$122,"16")</f>
        <v>0</v>
      </c>
      <c r="CZ34" s="20">
        <f>COUNTIFS(SEGUIMIENTO!$J$23:$J$122,"F",SEGUIMIENTO!$Z$23:$Z$122,"N/A")</f>
        <v>0</v>
      </c>
      <c r="DA34" s="533"/>
      <c r="DB34" s="5"/>
      <c r="DC34" s="5"/>
      <c r="DD34" s="5"/>
      <c r="DE34" s="5"/>
      <c r="DF34" s="5"/>
      <c r="DG34" s="5"/>
      <c r="DH34" s="5"/>
      <c r="DI34" s="5"/>
      <c r="DJ34" s="5"/>
      <c r="DK34" s="10"/>
      <c r="DL34" s="5"/>
      <c r="DM34" s="535"/>
      <c r="DN34" s="5"/>
      <c r="DO34" s="5"/>
      <c r="DP34" s="5"/>
      <c r="DQ34" s="5"/>
      <c r="DR34" s="5"/>
      <c r="DS34" s="5"/>
      <c r="EJ34" s="285"/>
    </row>
    <row r="35" spans="2:140" s="11" customFormat="1" ht="12.45" customHeight="1" thickBot="1" x14ac:dyDescent="0.25">
      <c r="B35" s="113"/>
      <c r="C35" s="303"/>
      <c r="D35" s="347" t="s">
        <v>90</v>
      </c>
      <c r="E35" s="348"/>
      <c r="F35" s="348"/>
      <c r="G35" s="348"/>
      <c r="H35" s="348"/>
      <c r="I35" s="348"/>
      <c r="J35" s="348"/>
      <c r="K35" s="348"/>
      <c r="L35" s="348"/>
      <c r="M35" s="144">
        <f>SUM(M33:M34)</f>
        <v>0</v>
      </c>
      <c r="N35" s="9"/>
      <c r="O35" s="9">
        <f>SUM(O33:O34)</f>
        <v>0</v>
      </c>
      <c r="P35" s="9">
        <f t="shared" ref="P35:T35" si="19">SUM(P33:P34)</f>
        <v>0</v>
      </c>
      <c r="Q35" s="9">
        <f t="shared" si="19"/>
        <v>0</v>
      </c>
      <c r="R35" s="9">
        <f t="shared" si="19"/>
        <v>0</v>
      </c>
      <c r="S35" s="9">
        <f t="shared" si="19"/>
        <v>0</v>
      </c>
      <c r="T35" s="9">
        <f t="shared" si="19"/>
        <v>0</v>
      </c>
      <c r="U35" s="142">
        <f>SUM(O35:T35)</f>
        <v>0</v>
      </c>
      <c r="V35" s="9"/>
      <c r="W35" s="9">
        <f t="shared" ref="W35" si="20">SUM(W33:W34)</f>
        <v>0</v>
      </c>
      <c r="X35" s="9">
        <f t="shared" ref="X35" si="21">SUM(X33:X34)</f>
        <v>0</v>
      </c>
      <c r="Y35" s="9">
        <f t="shared" ref="Y35" si="22">SUM(Y33:Y34)</f>
        <v>0</v>
      </c>
      <c r="Z35" s="9">
        <f t="shared" ref="Z35" si="23">SUM(Z33:Z34)</f>
        <v>0</v>
      </c>
      <c r="AA35" s="9">
        <f t="shared" ref="AA35" si="24">SUM(AA33:AA34)</f>
        <v>0</v>
      </c>
      <c r="AB35" s="9">
        <f t="shared" ref="AB35" si="25">SUM(AB33:AB34)</f>
        <v>0</v>
      </c>
      <c r="AC35" s="9">
        <f t="shared" ref="AC35" si="26">SUM(AC33:AC34)</f>
        <v>0</v>
      </c>
      <c r="AD35" s="142">
        <f>SUM(W35:AC35)</f>
        <v>0</v>
      </c>
      <c r="AE35" s="10"/>
      <c r="AF35" s="10"/>
      <c r="AG35" s="10"/>
      <c r="AH35" s="10"/>
      <c r="AI35" s="10"/>
      <c r="AJ35" s="10">
        <f>SUM(AJ33:AJ34)</f>
        <v>0</v>
      </c>
      <c r="AK35" s="10">
        <f t="shared" ref="AK35:AV35" si="27">SUM(AK33:AK34)</f>
        <v>0</v>
      </c>
      <c r="AL35" s="10">
        <f t="shared" si="27"/>
        <v>0</v>
      </c>
      <c r="AM35" s="10">
        <f t="shared" si="27"/>
        <v>0</v>
      </c>
      <c r="AN35" s="10">
        <f t="shared" si="27"/>
        <v>0</v>
      </c>
      <c r="AO35" s="10">
        <f t="shared" si="27"/>
        <v>0</v>
      </c>
      <c r="AP35" s="10">
        <f t="shared" si="27"/>
        <v>0</v>
      </c>
      <c r="AQ35" s="10">
        <f t="shared" si="27"/>
        <v>0</v>
      </c>
      <c r="AR35" s="10">
        <f t="shared" si="27"/>
        <v>0</v>
      </c>
      <c r="AS35" s="10">
        <f t="shared" si="27"/>
        <v>0</v>
      </c>
      <c r="AT35" s="10">
        <f t="shared" si="27"/>
        <v>0</v>
      </c>
      <c r="AU35" s="10">
        <f t="shared" si="27"/>
        <v>0</v>
      </c>
      <c r="AV35" s="143">
        <f t="shared" si="27"/>
        <v>0</v>
      </c>
      <c r="AW35" s="140">
        <f>SUM(AJ35:AU35)</f>
        <v>0</v>
      </c>
      <c r="AX35" s="5"/>
      <c r="AY35" s="142">
        <f>SUM(AY33:AY34)</f>
        <v>0</v>
      </c>
      <c r="AZ35" s="5"/>
      <c r="BA35" s="10">
        <f>SUM(BA33:BA34)</f>
        <v>0</v>
      </c>
      <c r="BB35" s="10">
        <f t="shared" ref="BB35:BH35" si="28">SUM(BB33:BB34)</f>
        <v>0</v>
      </c>
      <c r="BC35" s="10">
        <f t="shared" si="28"/>
        <v>0</v>
      </c>
      <c r="BD35" s="10">
        <f t="shared" si="28"/>
        <v>0</v>
      </c>
      <c r="BE35" s="10">
        <f t="shared" si="28"/>
        <v>0</v>
      </c>
      <c r="BF35" s="10">
        <f t="shared" si="28"/>
        <v>0</v>
      </c>
      <c r="BG35" s="10">
        <f t="shared" si="28"/>
        <v>0</v>
      </c>
      <c r="BH35" s="143">
        <f t="shared" si="28"/>
        <v>0</v>
      </c>
      <c r="BI35" s="140">
        <f>SUM(BA35:BG35)</f>
        <v>0</v>
      </c>
      <c r="BJ35" s="5"/>
      <c r="BK35" s="10">
        <f t="shared" ref="BK35" si="29">SUM(BK33:BK34)</f>
        <v>0</v>
      </c>
      <c r="BL35" s="10">
        <f t="shared" ref="BL35" si="30">SUM(BL33:BL34)</f>
        <v>0</v>
      </c>
      <c r="BM35" s="10">
        <f t="shared" ref="BM35" si="31">SUM(BM33:BM34)</f>
        <v>0</v>
      </c>
      <c r="BN35" s="10">
        <f t="shared" ref="BN35" si="32">SUM(BN33:BN34)</f>
        <v>0</v>
      </c>
      <c r="BO35" s="10">
        <f t="shared" ref="BO35" si="33">SUM(BO33:BO34)</f>
        <v>0</v>
      </c>
      <c r="BP35" s="10">
        <f t="shared" ref="BP35" si="34">SUM(BP33:BP34)</f>
        <v>0</v>
      </c>
      <c r="BQ35" s="10">
        <f t="shared" ref="BQ35" si="35">SUM(BQ33:BQ34)</f>
        <v>0</v>
      </c>
      <c r="BR35" s="143">
        <f t="shared" ref="BR35" si="36">SUM(BR33:BR34)</f>
        <v>0</v>
      </c>
      <c r="BS35" s="140">
        <f>SUM(BK35:BQ35)</f>
        <v>0</v>
      </c>
      <c r="BT35" s="533"/>
      <c r="BU35" s="10">
        <f t="shared" ref="BU35" si="37">SUM(BU33:BU34)</f>
        <v>0</v>
      </c>
      <c r="BV35" s="10">
        <f t="shared" ref="BV35" si="38">SUM(BV33:BV34)</f>
        <v>0</v>
      </c>
      <c r="BW35" s="142">
        <f>SUM(BU35:BV35)</f>
        <v>0</v>
      </c>
      <c r="BX35" s="533"/>
      <c r="BY35" s="10">
        <f t="shared" ref="BY35:CG35" si="39">SUM(BY33:BY34)</f>
        <v>0</v>
      </c>
      <c r="BZ35" s="10">
        <f t="shared" si="39"/>
        <v>0</v>
      </c>
      <c r="CA35" s="10">
        <f t="shared" si="39"/>
        <v>0</v>
      </c>
      <c r="CB35" s="10">
        <f t="shared" si="39"/>
        <v>0</v>
      </c>
      <c r="CC35" s="10">
        <f t="shared" si="39"/>
        <v>0</v>
      </c>
      <c r="CD35" s="10">
        <f t="shared" si="39"/>
        <v>0</v>
      </c>
      <c r="CE35" s="10">
        <f t="shared" si="39"/>
        <v>0</v>
      </c>
      <c r="CF35" s="10">
        <f t="shared" si="39"/>
        <v>0</v>
      </c>
      <c r="CG35" s="10">
        <f t="shared" si="39"/>
        <v>0</v>
      </c>
      <c r="CH35" s="142">
        <f>SUM(BY35:CG35)</f>
        <v>0</v>
      </c>
      <c r="CI35" s="533"/>
      <c r="CJ35" s="10">
        <f>SUM(CJ33:CJ34)</f>
        <v>0</v>
      </c>
      <c r="CK35" s="10">
        <f t="shared" ref="CK35:CZ35" si="40">SUM(CK33:CK34)</f>
        <v>0</v>
      </c>
      <c r="CL35" s="10">
        <f t="shared" si="40"/>
        <v>0</v>
      </c>
      <c r="CM35" s="10">
        <f t="shared" si="40"/>
        <v>0</v>
      </c>
      <c r="CN35" s="10">
        <f t="shared" si="40"/>
        <v>0</v>
      </c>
      <c r="CO35" s="10">
        <f t="shared" si="40"/>
        <v>0</v>
      </c>
      <c r="CP35" s="10">
        <f t="shared" si="40"/>
        <v>0</v>
      </c>
      <c r="CQ35" s="10">
        <f t="shared" si="40"/>
        <v>0</v>
      </c>
      <c r="CR35" s="10">
        <f t="shared" si="40"/>
        <v>0</v>
      </c>
      <c r="CS35" s="10">
        <f t="shared" si="40"/>
        <v>0</v>
      </c>
      <c r="CT35" s="10">
        <f t="shared" si="40"/>
        <v>0</v>
      </c>
      <c r="CU35" s="10">
        <f t="shared" si="40"/>
        <v>0</v>
      </c>
      <c r="CV35" s="10">
        <f t="shared" si="40"/>
        <v>0</v>
      </c>
      <c r="CW35" s="10">
        <f t="shared" si="40"/>
        <v>0</v>
      </c>
      <c r="CX35" s="10">
        <f t="shared" si="40"/>
        <v>0</v>
      </c>
      <c r="CY35" s="10">
        <f t="shared" si="40"/>
        <v>0</v>
      </c>
      <c r="CZ35" s="143">
        <f t="shared" si="40"/>
        <v>0</v>
      </c>
      <c r="DA35" s="140">
        <f>SUM(CJ35:CY35)</f>
        <v>0</v>
      </c>
      <c r="DB35" s="5"/>
      <c r="DC35" s="5"/>
      <c r="DD35" s="5"/>
      <c r="DE35" s="5"/>
      <c r="DF35" s="5"/>
      <c r="DG35" s="5"/>
      <c r="DH35" s="5"/>
      <c r="DI35" s="5"/>
      <c r="DJ35" s="5"/>
      <c r="DK35" s="10"/>
      <c r="DL35" s="5"/>
      <c r="DM35" s="535"/>
      <c r="DN35" s="5"/>
      <c r="DO35" s="5"/>
      <c r="DP35" s="5"/>
      <c r="DQ35" s="5"/>
      <c r="DR35" s="5"/>
      <c r="DS35" s="5"/>
      <c r="EJ35" s="285"/>
    </row>
    <row r="36" spans="2:140" s="11" customFormat="1" ht="10.050000000000001" customHeight="1" thickBot="1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9"/>
      <c r="O36" s="9"/>
      <c r="P36" s="9"/>
      <c r="Q36" s="9"/>
      <c r="R36" s="9"/>
      <c r="S36" s="9"/>
      <c r="T36" s="9"/>
      <c r="U36" s="9"/>
      <c r="V36" s="9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533"/>
      <c r="BL36" s="533"/>
      <c r="BM36" s="533"/>
      <c r="BN36" s="533"/>
      <c r="BO36" s="533"/>
      <c r="BP36" s="533"/>
      <c r="BQ36" s="533"/>
      <c r="BR36" s="533"/>
      <c r="BS36" s="533"/>
      <c r="BT36" s="533"/>
      <c r="BU36" s="533"/>
      <c r="BV36" s="533"/>
      <c r="BW36" s="533"/>
      <c r="BX36" s="533"/>
      <c r="BY36" s="10"/>
      <c r="BZ36" s="10"/>
      <c r="CA36" s="10"/>
      <c r="CB36" s="10"/>
      <c r="CC36" s="10"/>
      <c r="CD36" s="10"/>
      <c r="CE36" s="10"/>
      <c r="CF36" s="10"/>
      <c r="CG36" s="10"/>
      <c r="CH36" s="5"/>
      <c r="CI36" s="533"/>
      <c r="CJ36" s="224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533"/>
      <c r="DB36" s="5"/>
      <c r="DC36" s="5"/>
      <c r="DD36" s="5"/>
      <c r="DE36" s="5"/>
      <c r="DF36" s="5"/>
      <c r="DG36" s="5"/>
      <c r="DH36" s="5"/>
      <c r="DI36" s="5"/>
      <c r="DJ36" s="5"/>
      <c r="DK36" s="10"/>
      <c r="DL36" s="5"/>
      <c r="DM36" s="535"/>
      <c r="DN36" s="5"/>
      <c r="DO36" s="5"/>
      <c r="DP36" s="5"/>
      <c r="DQ36" s="5"/>
      <c r="DR36" s="5"/>
      <c r="DS36" s="5"/>
      <c r="EJ36" s="407"/>
    </row>
    <row r="37" spans="2:140" s="11" customFormat="1" ht="12.45" customHeight="1" x14ac:dyDescent="0.2">
      <c r="B37" s="109" t="s">
        <v>54</v>
      </c>
      <c r="C37" s="309"/>
      <c r="D37" s="294" t="s">
        <v>39</v>
      </c>
      <c r="E37" s="307"/>
      <c r="F37" s="307"/>
      <c r="G37" s="307"/>
      <c r="H37" s="307"/>
      <c r="I37" s="307"/>
      <c r="J37" s="307"/>
      <c r="K37" s="307"/>
      <c r="L37" s="307"/>
      <c r="M37" s="171">
        <f>COUNTIF(SEGUIMIENTO!K$23:K$122,"SI")</f>
        <v>0</v>
      </c>
      <c r="N37" s="22"/>
      <c r="O37" s="169">
        <f>+AJ16</f>
        <v>0</v>
      </c>
      <c r="P37" s="14">
        <f>+AJ17</f>
        <v>0</v>
      </c>
      <c r="Q37" s="184">
        <f>+AJ18</f>
        <v>0</v>
      </c>
      <c r="R37" s="14">
        <f>+AJ19</f>
        <v>0</v>
      </c>
      <c r="S37" s="186">
        <f>+AJ20</f>
        <v>0</v>
      </c>
      <c r="T37" s="13">
        <f>+AJ21</f>
        <v>0</v>
      </c>
      <c r="U37" s="22"/>
      <c r="V37" s="22"/>
      <c r="W37" s="169">
        <f>+AJ24</f>
        <v>0</v>
      </c>
      <c r="X37" s="14">
        <f>+AJ25</f>
        <v>0</v>
      </c>
      <c r="Y37" s="184">
        <f>+AJ26</f>
        <v>0</v>
      </c>
      <c r="Z37" s="14">
        <f>+AJ27</f>
        <v>0</v>
      </c>
      <c r="AA37" s="186">
        <f>+AJ28</f>
        <v>0</v>
      </c>
      <c r="AB37" s="14">
        <f>+AJ29</f>
        <v>0</v>
      </c>
      <c r="AC37" s="191">
        <f>+AJ30</f>
        <v>0</v>
      </c>
      <c r="AD37" s="22"/>
      <c r="AE37" s="22"/>
      <c r="AF37" s="169">
        <f>+AJ33</f>
        <v>0</v>
      </c>
      <c r="AG37" s="13">
        <f>+AJ34</f>
        <v>0</v>
      </c>
      <c r="AH37" s="22"/>
      <c r="AI37" s="22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22"/>
      <c r="AX37" s="22"/>
      <c r="AY37" s="192">
        <f>COUNTIFS(SEGUIMIENTO!$K$23:$K$122,"SI",SEGUIMIENTO!$X$23:$X$122,"SI")</f>
        <v>0</v>
      </c>
      <c r="AZ37" s="22"/>
      <c r="BA37" s="169">
        <f>COUNTIFS(SEGUIMIENTO!$K$23:$K$122,"SI",SEGUIMIENTO!$Y$23:$Y$122,"I-MB")</f>
        <v>0</v>
      </c>
      <c r="BB37" s="170">
        <f>COUNTIFS(SEGUIMIENTO!$K$23:$K$122,"SI",SEGUIMIENTO!$Y$23:$Y$122,"I-U")</f>
        <v>0</v>
      </c>
      <c r="BC37" s="170">
        <f>COUNTIFS(SEGUIMIENTO!$K$23:$K$122,"SI",SEGUIMIENTO!$Y$23:$Y$122,"I-I")</f>
        <v>0</v>
      </c>
      <c r="BD37" s="170">
        <f>COUNTIFS(SEGUIMIENTO!$K$23:$K$122,"SI",SEGUIMIENTO!$Y$23:$Y$122,"I-K")</f>
        <v>0</v>
      </c>
      <c r="BE37" s="170">
        <f>COUNTIFS(SEGUIMIENTO!$K$23:$K$122,"SI",SEGUIMIENTO!$Y$23:$Y$122,"I-FD")</f>
        <v>0</v>
      </c>
      <c r="BF37" s="170">
        <f>COUNTIFS(SEGUIMIENTO!$K$23:$K$122,"SI",SEGUIMIENTO!$Y$23:$Y$122,"NARP")</f>
        <v>0</v>
      </c>
      <c r="BG37" s="170">
        <f>COUNTIFS(SEGUIMIENTO!$K$23:$K$122,"SI",SEGUIMIENTO!$Y$23:$Y$122,"R")</f>
        <v>0</v>
      </c>
      <c r="BH37" s="171">
        <f>COUNTIFS(SEGUIMIENTO!$K$23:$K$122,"SI",SEGUIMIENTO!$Y$23:$Y$122,"N/A")</f>
        <v>0</v>
      </c>
      <c r="BI37" s="22"/>
      <c r="BJ37" s="22"/>
      <c r="BK37" s="169">
        <f>COUNTIFS(SEGUIMIENTO!$K$23:$K$122,"SI",SEGUIMIENTO!$AA$23:$AA$122,"JAC")</f>
        <v>0</v>
      </c>
      <c r="BL37" s="170">
        <f>COUNTIFS(SEGUIMIENTO!$K$23:$K$122,"SI",SEGUIMIENTO!$AA$23:$AA$122,"JAL")</f>
        <v>0</v>
      </c>
      <c r="BM37" s="170">
        <f>COUNTIFS(SEGUIMIENTO!$K$23:$K$122,"SI",SEGUIMIENTO!$AA$23:$AA$122,"AMB")</f>
        <v>0</v>
      </c>
      <c r="BN37" s="170">
        <f>COUNTIFS(SEGUIMIENTO!$K$23:$K$122,"SI",SEGUIMIENTO!$AA$23:$AA$122,"DDHH")</f>
        <v>0</v>
      </c>
      <c r="BO37" s="170">
        <f>COUNTIFS(SEGUIMIENTO!$K$23:$K$122,"SI",SEGUIMIENTO!$AA$23:$AA$122,"SIND")</f>
        <v>0</v>
      </c>
      <c r="BP37" s="170">
        <f>COUNTIFS(SEGUIMIENTO!$K$23:$K$122,"SI",SEGUIMIENTO!$AA$23:$AA$122,"REL")</f>
        <v>0</v>
      </c>
      <c r="BQ37" s="170">
        <f>COUNTIFS(SEGUIMIENTO!$K$23:$K$122,"SI",SEGUIMIENTO!$AA$23:$AA$122,"OTR")</f>
        <v>0</v>
      </c>
      <c r="BR37" s="171">
        <f>COUNTIFS(SEGUIMIENTO!$K$23:$K$122,"SI",SEGUIMIENTO!$AA$23:$AA$122,"N/A")</f>
        <v>0</v>
      </c>
      <c r="BS37" s="22"/>
      <c r="BT37" s="22"/>
      <c r="BU37" s="169">
        <f>COUNTIFS(SEGUIMIENTO!$K$23:$K$122,"SI",SEGUIMIENTO!$AB$23:$AB$122,"RUR")</f>
        <v>0</v>
      </c>
      <c r="BV37" s="171">
        <f>COUNTIFS(SEGUIMIENTO!$K$23:$K$122,"SI",SEGUIMIENTO!$AB$23:$AB$122,"URB")</f>
        <v>0</v>
      </c>
      <c r="BW37" s="22"/>
      <c r="BX37" s="22"/>
      <c r="BY37" s="169">
        <f>COUNTIFS(SEGUIMIENTO!$K$23:$K$122,"SI",SEGUIMIENTO!AD$23:AD$122,"1")</f>
        <v>0</v>
      </c>
      <c r="BZ37" s="170">
        <f>COUNTIFS(SEGUIMIENTO!$K$23:$K$122,"SI",SEGUIMIENTO!AD$23:AD$122,"2")</f>
        <v>0</v>
      </c>
      <c r="CA37" s="170">
        <f>COUNTIFS(SEGUIMIENTO!$K$23:$K$122,"SI",SEGUIMIENTO!AD$23:AD$122,"3")</f>
        <v>0</v>
      </c>
      <c r="CB37" s="170">
        <f>COUNTIFS(SEGUIMIENTO!$K$23:$K$122,"SI",SEGUIMIENTO!AD$23:AD$122,"4")</f>
        <v>0</v>
      </c>
      <c r="CC37" s="170">
        <f>COUNTIFS(SEGUIMIENTO!$K$23:$K$122,"SI",SEGUIMIENTO!AD$23:AD$122,"5")</f>
        <v>0</v>
      </c>
      <c r="CD37" s="170">
        <f>COUNTIFS(SEGUIMIENTO!$K$23:$K$122,"SI",SEGUIMIENTO!AD$23:AD$122,"6")</f>
        <v>0</v>
      </c>
      <c r="CE37" s="170">
        <f>COUNTIFS(SEGUIMIENTO!$K$23:$K$122,"SI",SEGUIMIENTO!AD$23:AD$122,"7")</f>
        <v>0</v>
      </c>
      <c r="CF37" s="170">
        <f>COUNTIFS(SEGUIMIENTO!$K$23:$K$122,"SI",SEGUIMIENTO!AD$23:AD$122,"8")</f>
        <v>0</v>
      </c>
      <c r="CG37" s="171">
        <f>COUNTIFS(SEGUIMIENTO!$K$23:$K$122,"SI",SEGUIMIENTO!AD$23:AD$122,"9")</f>
        <v>0</v>
      </c>
      <c r="CH37" s="22"/>
      <c r="CI37" s="22"/>
      <c r="CJ37" s="169">
        <f>COUNTIFS(SEGUIMIENTO!$K$23:$K$122,"SI",SEGUIMIENTO!$Z$23:$Z$122,"1")</f>
        <v>0</v>
      </c>
      <c r="CK37" s="170">
        <f>COUNTIFS(SEGUIMIENTO!$K$23:$K$122,"SI",SEGUIMIENTO!$Z$23:$Z$122,"2")</f>
        <v>0</v>
      </c>
      <c r="CL37" s="170">
        <f>COUNTIFS(SEGUIMIENTO!$K$23:$K$122,"SI",SEGUIMIENTO!$Z$23:$Z$122,"3")</f>
        <v>0</v>
      </c>
      <c r="CM37" s="170">
        <f>COUNTIFS(SEGUIMIENTO!$K$23:$K$122,"SI",SEGUIMIENTO!$Z$23:$Z$122,"4")</f>
        <v>0</v>
      </c>
      <c r="CN37" s="170">
        <f>COUNTIFS(SEGUIMIENTO!$K$23:$K$122,"SI",SEGUIMIENTO!$Z$23:$Z$122,"5")</f>
        <v>0</v>
      </c>
      <c r="CO37" s="170">
        <f>COUNTIFS(SEGUIMIENTO!$K$23:$K$122,"SI",SEGUIMIENTO!$Z$23:$Z$122,"6")</f>
        <v>0</v>
      </c>
      <c r="CP37" s="170">
        <f>COUNTIFS(SEGUIMIENTO!$K$23:$K$122,"SI",SEGUIMIENTO!$Z$23:$Z$122,"7")</f>
        <v>0</v>
      </c>
      <c r="CQ37" s="170">
        <f>COUNTIFS(SEGUIMIENTO!$K$23:$K$122,"SI",SEGUIMIENTO!$Z$23:$Z$122,"8")</f>
        <v>0</v>
      </c>
      <c r="CR37" s="170">
        <f>COUNTIFS(SEGUIMIENTO!$K$23:$K$122,"SI",SEGUIMIENTO!$Z$23:$Z$122,"9")</f>
        <v>0</v>
      </c>
      <c r="CS37" s="170">
        <f>COUNTIFS(SEGUIMIENTO!$K$23:$K$122,"SI",SEGUIMIENTO!$Z$23:$Z$122,"10")</f>
        <v>0</v>
      </c>
      <c r="CT37" s="170">
        <f>COUNTIFS(SEGUIMIENTO!$K$23:$K$122,"SI",SEGUIMIENTO!$Z$23:$Z$122,"11")</f>
        <v>0</v>
      </c>
      <c r="CU37" s="170">
        <f>COUNTIFS(SEGUIMIENTO!$K$23:$K$122,"SI",SEGUIMIENTO!$Z$23:$Z$122,"12")</f>
        <v>0</v>
      </c>
      <c r="CV37" s="170">
        <f>COUNTIFS(SEGUIMIENTO!$K$23:$K$122,"SI",SEGUIMIENTO!$Z$23:$Z$122,"13")</f>
        <v>0</v>
      </c>
      <c r="CW37" s="170">
        <f>COUNTIFS(SEGUIMIENTO!$K$23:$K$122,"SI",SEGUIMIENTO!$Z$23:$Z$122,"14")</f>
        <v>0</v>
      </c>
      <c r="CX37" s="170">
        <f>COUNTIFS(SEGUIMIENTO!$K$23:$K$122,"SI",SEGUIMIENTO!$Z$23:$Z$122,"15")</f>
        <v>0</v>
      </c>
      <c r="CY37" s="170">
        <f>COUNTIFS(SEGUIMIENTO!$K$23:$K$122,"SI",SEGUIMIENTO!$Z$23:$Z$122,"16")</f>
        <v>0</v>
      </c>
      <c r="CZ37" s="171">
        <f>COUNTIFS(SEGUIMIENTO!$K$23:$K$122,"SI",SEGUIMIENTO!$Z$23:$Z$122,"N/A")</f>
        <v>0</v>
      </c>
      <c r="DA37" s="533"/>
      <c r="DB37" s="5"/>
      <c r="DC37" s="5"/>
      <c r="DD37" s="5"/>
      <c r="DE37" s="5"/>
      <c r="DF37" s="5"/>
      <c r="DG37" s="5"/>
      <c r="DH37" s="5"/>
      <c r="DI37" s="5"/>
      <c r="DJ37" s="5"/>
      <c r="DK37" s="10"/>
      <c r="DL37" s="5"/>
      <c r="DM37" s="535"/>
      <c r="DN37" s="5"/>
      <c r="DO37" s="5"/>
      <c r="DP37" s="5"/>
      <c r="DQ37" s="5"/>
      <c r="DR37" s="5"/>
      <c r="DS37" s="5"/>
      <c r="EJ37" s="285"/>
    </row>
    <row r="38" spans="2:140" s="11" customFormat="1" ht="12.45" customHeight="1" x14ac:dyDescent="0.2">
      <c r="B38" s="110"/>
      <c r="C38" s="310"/>
      <c r="D38" s="296" t="s">
        <v>59</v>
      </c>
      <c r="E38" s="304"/>
      <c r="F38" s="304"/>
      <c r="G38" s="304"/>
      <c r="H38" s="304"/>
      <c r="I38" s="304"/>
      <c r="J38" s="304"/>
      <c r="K38" s="304"/>
      <c r="L38" s="304"/>
      <c r="M38" s="151">
        <f>COUNTIF(SEGUIMIENTO!L$23:L$122,"SI")</f>
        <v>0</v>
      </c>
      <c r="N38" s="22"/>
      <c r="O38" s="182">
        <f>+AK16</f>
        <v>0</v>
      </c>
      <c r="P38" s="55">
        <f>+AK17</f>
        <v>0</v>
      </c>
      <c r="Q38" s="166">
        <f>+AK18</f>
        <v>0</v>
      </c>
      <c r="R38" s="55">
        <f>+AK19</f>
        <v>0</v>
      </c>
      <c r="S38" s="161">
        <f>+AK20</f>
        <v>0</v>
      </c>
      <c r="T38" s="16">
        <f>+AK21</f>
        <v>0</v>
      </c>
      <c r="U38" s="22"/>
      <c r="V38" s="22"/>
      <c r="W38" s="182">
        <f>+AK24</f>
        <v>0</v>
      </c>
      <c r="X38" s="55">
        <f>+AK25</f>
        <v>0</v>
      </c>
      <c r="Y38" s="166">
        <f>+AK26</f>
        <v>0</v>
      </c>
      <c r="Z38" s="55">
        <f>+AK27</f>
        <v>0</v>
      </c>
      <c r="AA38" s="161">
        <f>+AK28</f>
        <v>0</v>
      </c>
      <c r="AB38" s="55">
        <f>+AK29</f>
        <v>0</v>
      </c>
      <c r="AC38" s="198">
        <f>+AK30</f>
        <v>0</v>
      </c>
      <c r="AD38" s="22"/>
      <c r="AE38" s="22"/>
      <c r="AF38" s="182">
        <f>+AK33</f>
        <v>0</v>
      </c>
      <c r="AG38" s="16">
        <f>+AK34</f>
        <v>0</v>
      </c>
      <c r="AH38" s="22"/>
      <c r="AI38" s="22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22"/>
      <c r="AX38" s="22"/>
      <c r="AY38" s="17">
        <f>COUNTIFS(SEGUIMIENTO!$L$23:$L$122,"SI",SEGUIMIENTO!$X$23:$X$122,"SI")</f>
        <v>0</v>
      </c>
      <c r="AZ38" s="22"/>
      <c r="BA38" s="15">
        <f>COUNTIFS(SEGUIMIENTO!$L$23:$L$122,"SI",SEGUIMIENTO!$Y$23:$Y$122,"I-MB")</f>
        <v>0</v>
      </c>
      <c r="BB38" s="55">
        <f>COUNTIFS(SEGUIMIENTO!$L$23:$L$122,"SI",SEGUIMIENTO!$Y$23:$Y$122,"I-U")</f>
        <v>0</v>
      </c>
      <c r="BC38" s="55">
        <f>COUNTIFS(SEGUIMIENTO!$L$23:$L$122,"SI",SEGUIMIENTO!$Y$23:$Y$122,"I-I")</f>
        <v>0</v>
      </c>
      <c r="BD38" s="55">
        <f>COUNTIFS(SEGUIMIENTO!$L$23:$L$122,"SI",SEGUIMIENTO!$Y$23:$Y$122,"I-K")</f>
        <v>0</v>
      </c>
      <c r="BE38" s="55">
        <f>COUNTIFS(SEGUIMIENTO!$L$23:$L$122,"SI",SEGUIMIENTO!$Y$23:$Y$122,"I-FD")</f>
        <v>0</v>
      </c>
      <c r="BF38" s="55">
        <f>COUNTIFS(SEGUIMIENTO!$L$23:$L$122,"SI",SEGUIMIENTO!$Y$23:$Y$122,"NARP")</f>
        <v>0</v>
      </c>
      <c r="BG38" s="55">
        <f>COUNTIFS(SEGUIMIENTO!$L$23:$L$122,"SI",SEGUIMIENTO!$Y$23:$Y$122,"R")</f>
        <v>0</v>
      </c>
      <c r="BH38" s="16">
        <f>COUNTIFS(SEGUIMIENTO!$L$23:$L$122,"SI",SEGUIMIENTO!$Y$23:$Y$122,"N/A")</f>
        <v>0</v>
      </c>
      <c r="BI38" s="22"/>
      <c r="BJ38" s="22"/>
      <c r="BK38" s="15">
        <f>COUNTIFS(SEGUIMIENTO!$L$23:$L$122,"SI",SEGUIMIENTO!$AA$23:$AA$122,"JAC")</f>
        <v>0</v>
      </c>
      <c r="BL38" s="55">
        <f>COUNTIFS(SEGUIMIENTO!$L$23:$L$122,"SI",SEGUIMIENTO!$AA$23:$AA$122,"JAL")</f>
        <v>0</v>
      </c>
      <c r="BM38" s="55">
        <f>COUNTIFS(SEGUIMIENTO!$L$23:$L$122,"SI",SEGUIMIENTO!$AA$23:$AA$122,"AMB")</f>
        <v>0</v>
      </c>
      <c r="BN38" s="55">
        <f>COUNTIFS(SEGUIMIENTO!$L$23:$L$122,"SI",SEGUIMIENTO!$AA$23:$AA$122,"DDHH")</f>
        <v>0</v>
      </c>
      <c r="BO38" s="55">
        <f>COUNTIFS(SEGUIMIENTO!$L$23:$L$122,"SI",SEGUIMIENTO!$AA$23:$AA$122,"SIND")</f>
        <v>0</v>
      </c>
      <c r="BP38" s="55">
        <f>COUNTIFS(SEGUIMIENTO!$L$23:$L$122,"SI",SEGUIMIENTO!$AA$23:$AA$122,"REL")</f>
        <v>0</v>
      </c>
      <c r="BQ38" s="55">
        <f>COUNTIFS(SEGUIMIENTO!$L$23:$L$122,"SI",SEGUIMIENTO!$AA$23:$AA$122,"OTR")</f>
        <v>0</v>
      </c>
      <c r="BR38" s="16">
        <f>COUNTIFS(SEGUIMIENTO!$L$23:$L$122,"SI",SEGUIMIENTO!$AA$23:$AA$122,"N/A")</f>
        <v>0</v>
      </c>
      <c r="BS38" s="22"/>
      <c r="BT38" s="22"/>
      <c r="BU38" s="15">
        <f>COUNTIFS(SEGUIMIENTO!$L$23:$L$122,"SI",SEGUIMIENTO!$AB$23:$AB$122,"RUR")</f>
        <v>0</v>
      </c>
      <c r="BV38" s="16">
        <f>COUNTIFS(SEGUIMIENTO!$L$23:$L$122,"SI",SEGUIMIENTO!$AB$23:$AB$122,"URB")</f>
        <v>0</v>
      </c>
      <c r="BW38" s="22"/>
      <c r="BX38" s="22"/>
      <c r="BY38" s="15">
        <f>COUNTIFS(SEGUIMIENTO!$L$23:$L$122,"SI",SEGUIMIENTO!AD$23:AD$122,"1")</f>
        <v>0</v>
      </c>
      <c r="BZ38" s="55">
        <f>COUNTIFS(SEGUIMIENTO!$L$23:$L$122,"SI",SEGUIMIENTO!AD$23:AD$122,"2")</f>
        <v>0</v>
      </c>
      <c r="CA38" s="55">
        <f>COUNTIFS(SEGUIMIENTO!$L$23:$L$122,"SI",SEGUIMIENTO!AD$23:AD$122,"3")</f>
        <v>0</v>
      </c>
      <c r="CB38" s="55">
        <f>COUNTIFS(SEGUIMIENTO!$L$23:$L$122,"SI",SEGUIMIENTO!AD$23:AD$122,"4")</f>
        <v>0</v>
      </c>
      <c r="CC38" s="55">
        <f>COUNTIFS(SEGUIMIENTO!$L$23:$L$122,"SI",SEGUIMIENTO!AD$23:AD$122,"5")</f>
        <v>0</v>
      </c>
      <c r="CD38" s="55">
        <f>COUNTIFS(SEGUIMIENTO!$L$23:$L$122,"SI",SEGUIMIENTO!AD$23:AD$122,"6")</f>
        <v>0</v>
      </c>
      <c r="CE38" s="55">
        <f>COUNTIFS(SEGUIMIENTO!$L$23:$L$122,"SI",SEGUIMIENTO!AD$23:AD$122,"7")</f>
        <v>0</v>
      </c>
      <c r="CF38" s="55">
        <f>COUNTIFS(SEGUIMIENTO!$L$23:$L$122,"SI",SEGUIMIENTO!AD$23:AD$122,"8")</f>
        <v>0</v>
      </c>
      <c r="CG38" s="16">
        <f>COUNTIFS(SEGUIMIENTO!$L$23:$L$122,"SI",SEGUIMIENTO!AD$23:AD$122,"9")</f>
        <v>0</v>
      </c>
      <c r="CH38" s="22"/>
      <c r="CI38" s="22"/>
      <c r="CJ38" s="15">
        <f>COUNTIFS(SEGUIMIENTO!$L$23:$L$122,"SI",SEGUIMIENTO!$Z$23:$Z$122,"1")</f>
        <v>0</v>
      </c>
      <c r="CK38" s="55">
        <f>COUNTIFS(SEGUIMIENTO!$L$23:$L$122,"SI",SEGUIMIENTO!$Z$23:$Z$122,"2")</f>
        <v>0</v>
      </c>
      <c r="CL38" s="55">
        <f>COUNTIFS(SEGUIMIENTO!$L$23:$L$122,"SI",SEGUIMIENTO!$Z$23:$Z$122,"3")</f>
        <v>0</v>
      </c>
      <c r="CM38" s="55">
        <f>COUNTIFS(SEGUIMIENTO!$L$23:$L$122,"SI",SEGUIMIENTO!$Z$23:$Z$122,"4")</f>
        <v>0</v>
      </c>
      <c r="CN38" s="55">
        <f>COUNTIFS(SEGUIMIENTO!$L$23:$L$122,"SI",SEGUIMIENTO!$Z$23:$Z$122,"5")</f>
        <v>0</v>
      </c>
      <c r="CO38" s="55">
        <f>COUNTIFS(SEGUIMIENTO!$L$23:$L$122,"SI",SEGUIMIENTO!$Z$23:$Z$122,"6")</f>
        <v>0</v>
      </c>
      <c r="CP38" s="55">
        <f>COUNTIFS(SEGUIMIENTO!$L$23:$L$122,"SI",SEGUIMIENTO!$Z$23:$Z$122,"7")</f>
        <v>0</v>
      </c>
      <c r="CQ38" s="55">
        <f>COUNTIFS(SEGUIMIENTO!$L$23:$L$122,"SI",SEGUIMIENTO!$Z$23:$Z$122,"8")</f>
        <v>0</v>
      </c>
      <c r="CR38" s="55">
        <f>COUNTIFS(SEGUIMIENTO!$L$23:$L$122,"SI",SEGUIMIENTO!$Z$23:$Z$122,"9")</f>
        <v>0</v>
      </c>
      <c r="CS38" s="55">
        <f>COUNTIFS(SEGUIMIENTO!$L$23:$L$122,"SI",SEGUIMIENTO!$Z$23:$Z$122,"10")</f>
        <v>0</v>
      </c>
      <c r="CT38" s="55">
        <f>COUNTIFS(SEGUIMIENTO!$L$23:$L$122,"SI",SEGUIMIENTO!$Z$23:$Z$122,"11")</f>
        <v>0</v>
      </c>
      <c r="CU38" s="55">
        <f>COUNTIFS(SEGUIMIENTO!$L$23:$L$122,"SI",SEGUIMIENTO!$Z$23:$Z$122,"12")</f>
        <v>0</v>
      </c>
      <c r="CV38" s="55">
        <f>COUNTIFS(SEGUIMIENTO!$L$23:$L$122,"SI",SEGUIMIENTO!$Z$23:$Z$122,"13")</f>
        <v>0</v>
      </c>
      <c r="CW38" s="55">
        <f>COUNTIFS(SEGUIMIENTO!$L$23:$L$122,"SI",SEGUIMIENTO!$Z$23:$Z$122,"14")</f>
        <v>0</v>
      </c>
      <c r="CX38" s="55">
        <f>COUNTIFS(SEGUIMIENTO!$L$23:$L$122,"SI",SEGUIMIENTO!$Z$23:$Z$122,"15")</f>
        <v>0</v>
      </c>
      <c r="CY38" s="55">
        <f>COUNTIFS(SEGUIMIENTO!$L$23:$L$122,"SI",SEGUIMIENTO!$Z$23:$Z$122,"16")</f>
        <v>0</v>
      </c>
      <c r="CZ38" s="16">
        <f>COUNTIFS(SEGUIMIENTO!$L$23:$L$122,"SI",SEGUIMIENTO!$Z$23:$Z$122,"N/A")</f>
        <v>0</v>
      </c>
      <c r="DA38" s="533"/>
      <c r="DB38" s="5"/>
      <c r="DC38" s="5"/>
      <c r="DD38" s="5"/>
      <c r="DE38" s="5"/>
      <c r="DF38" s="5"/>
      <c r="DG38" s="5"/>
      <c r="DH38" s="5"/>
      <c r="DI38" s="5"/>
      <c r="DJ38" s="5"/>
      <c r="DK38" s="10"/>
      <c r="DL38" s="5"/>
      <c r="DM38" s="535"/>
      <c r="DN38" s="5"/>
      <c r="DO38" s="5"/>
      <c r="DP38" s="5"/>
      <c r="DQ38" s="5"/>
      <c r="DR38" s="5"/>
      <c r="DS38" s="5"/>
      <c r="EJ38" s="285"/>
    </row>
    <row r="39" spans="2:140" s="11" customFormat="1" ht="12.45" customHeight="1" x14ac:dyDescent="0.2">
      <c r="B39" s="110"/>
      <c r="C39" s="310"/>
      <c r="D39" s="297" t="s">
        <v>58</v>
      </c>
      <c r="E39" s="305"/>
      <c r="F39" s="305"/>
      <c r="G39" s="305"/>
      <c r="H39" s="305"/>
      <c r="I39" s="305"/>
      <c r="J39" s="305"/>
      <c r="K39" s="305"/>
      <c r="L39" s="305"/>
      <c r="M39" s="165">
        <f>COUNTIF(SEGUIMIENTO!M$23:M$122,"SI")</f>
        <v>0</v>
      </c>
      <c r="N39" s="22"/>
      <c r="O39" s="182">
        <f>+AL16</f>
        <v>0</v>
      </c>
      <c r="P39" s="55">
        <f>+AL17</f>
        <v>0</v>
      </c>
      <c r="Q39" s="166">
        <f>+AL18</f>
        <v>0</v>
      </c>
      <c r="R39" s="55">
        <f>+AL19</f>
        <v>0</v>
      </c>
      <c r="S39" s="161">
        <f>+AL20</f>
        <v>0</v>
      </c>
      <c r="T39" s="16">
        <f>+AL21</f>
        <v>0</v>
      </c>
      <c r="U39" s="22"/>
      <c r="V39" s="22"/>
      <c r="W39" s="182">
        <f>+AL24</f>
        <v>0</v>
      </c>
      <c r="X39" s="55">
        <f>+AL25</f>
        <v>0</v>
      </c>
      <c r="Y39" s="166">
        <f>+AL26</f>
        <v>0</v>
      </c>
      <c r="Z39" s="55">
        <f>+AL27</f>
        <v>0</v>
      </c>
      <c r="AA39" s="161">
        <f>+AL28</f>
        <v>0</v>
      </c>
      <c r="AB39" s="55">
        <f>+AL29</f>
        <v>0</v>
      </c>
      <c r="AC39" s="198">
        <f>+AL30</f>
        <v>0</v>
      </c>
      <c r="AD39" s="22"/>
      <c r="AE39" s="22"/>
      <c r="AF39" s="182">
        <f>+AL33</f>
        <v>0</v>
      </c>
      <c r="AG39" s="16">
        <f>+AL34</f>
        <v>0</v>
      </c>
      <c r="AH39" s="22"/>
      <c r="AI39" s="22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22"/>
      <c r="AX39" s="22"/>
      <c r="AY39" s="195">
        <f>COUNTIFS(SEGUIMIENTO!$M$23:$M$122,"SI",SEGUIMIENTO!$X$23:$X$122,"SI")</f>
        <v>0</v>
      </c>
      <c r="AZ39" s="22"/>
      <c r="BA39" s="164">
        <f>COUNTIFS(SEGUIMIENTO!$M$23:$M$122,"SI",SEGUIMIENTO!$Y$23:$Y$122,"I-MB")</f>
        <v>0</v>
      </c>
      <c r="BB39" s="166">
        <f>COUNTIFS(SEGUIMIENTO!$M$23:$M$122,"SI",SEGUIMIENTO!$Y$23:$Y$122,"I-U")</f>
        <v>0</v>
      </c>
      <c r="BC39" s="166">
        <f>COUNTIFS(SEGUIMIENTO!$M$23:$M$122,"SI",SEGUIMIENTO!$Y$23:$Y$122,"I-I")</f>
        <v>0</v>
      </c>
      <c r="BD39" s="166">
        <f>COUNTIFS(SEGUIMIENTO!$M$23:$M$122,"SI",SEGUIMIENTO!$Y$23:$Y$122,"I-K")</f>
        <v>0</v>
      </c>
      <c r="BE39" s="166">
        <f>COUNTIFS(SEGUIMIENTO!$M$23:$M$122,"SI",SEGUIMIENTO!$Y$23:$Y$122,"I-FD")</f>
        <v>0</v>
      </c>
      <c r="BF39" s="166">
        <f>COUNTIFS(SEGUIMIENTO!$M$23:$M$122,"SI",SEGUIMIENTO!$Y$23:$Y$122,"NARP")</f>
        <v>0</v>
      </c>
      <c r="BG39" s="166">
        <f>COUNTIFS(SEGUIMIENTO!$M$23:$M$122,"SI",SEGUIMIENTO!$Y$23:$Y$122,"R")</f>
        <v>0</v>
      </c>
      <c r="BH39" s="165">
        <f>COUNTIFS(SEGUIMIENTO!$M$23:$M$122,"SI",SEGUIMIENTO!$Y$23:$Y$122,"N/A")</f>
        <v>0</v>
      </c>
      <c r="BI39" s="22"/>
      <c r="BJ39" s="22"/>
      <c r="BK39" s="164">
        <f>COUNTIFS(SEGUIMIENTO!$M$23:$M$122,"SI",SEGUIMIENTO!$AA$23:$AA$122,"JAC")</f>
        <v>0</v>
      </c>
      <c r="BL39" s="166">
        <f>COUNTIFS(SEGUIMIENTO!$M$23:$M$122,"SI",SEGUIMIENTO!$AA$23:$AA$122,"JAL")</f>
        <v>0</v>
      </c>
      <c r="BM39" s="166">
        <f>COUNTIFS(SEGUIMIENTO!$M$23:$M$122,"SI",SEGUIMIENTO!$AA$23:$AA$122,"AMB")</f>
        <v>0</v>
      </c>
      <c r="BN39" s="166">
        <f>COUNTIFS(SEGUIMIENTO!$M$23:$M$122,"SI",SEGUIMIENTO!$AA$23:$AA$122,"DDHH")</f>
        <v>0</v>
      </c>
      <c r="BO39" s="166">
        <f>COUNTIFS(SEGUIMIENTO!$M$23:$M$122,"SI",SEGUIMIENTO!$AA$23:$AA$122,"SIND")</f>
        <v>0</v>
      </c>
      <c r="BP39" s="166">
        <f>COUNTIFS(SEGUIMIENTO!$M$23:$M$122,"SI",SEGUIMIENTO!$AA$23:$AA$122,"REL")</f>
        <v>0</v>
      </c>
      <c r="BQ39" s="166">
        <f>COUNTIFS(SEGUIMIENTO!$M$23:$M$122,"SI",SEGUIMIENTO!$AA$23:$AA$122,"OTR")</f>
        <v>0</v>
      </c>
      <c r="BR39" s="165">
        <f>COUNTIFS(SEGUIMIENTO!$M$23:$M$122,"SI",SEGUIMIENTO!$AA$23:$AA$122,"N/A")</f>
        <v>0</v>
      </c>
      <c r="BS39" s="22"/>
      <c r="BT39" s="22"/>
      <c r="BU39" s="164">
        <f>COUNTIFS(SEGUIMIENTO!$M$23:$M$122,"SI",SEGUIMIENTO!$AB$23:$AB$122,"RUR")</f>
        <v>0</v>
      </c>
      <c r="BV39" s="165">
        <f>COUNTIFS(SEGUIMIENTO!$M$23:$M$122,"SI",SEGUIMIENTO!$AB$23:$AB$122,"URB")</f>
        <v>0</v>
      </c>
      <c r="BW39" s="22"/>
      <c r="BX39" s="22"/>
      <c r="BY39" s="164">
        <f>COUNTIFS(SEGUIMIENTO!$M$23:$M$122,"SI",SEGUIMIENTO!AD$23:AD$122,"1")</f>
        <v>0</v>
      </c>
      <c r="BZ39" s="166">
        <f>COUNTIFS(SEGUIMIENTO!$M$23:$M$122,"SI",SEGUIMIENTO!AD$23:AD$122,"2")</f>
        <v>0</v>
      </c>
      <c r="CA39" s="166">
        <f>COUNTIFS(SEGUIMIENTO!$M$23:$M$122,"SI",SEGUIMIENTO!AD$23:AD$122,"3")</f>
        <v>0</v>
      </c>
      <c r="CB39" s="166">
        <f>COUNTIFS(SEGUIMIENTO!$M$23:$M$122,"SI",SEGUIMIENTO!AD$23:AD$122,"4")</f>
        <v>0</v>
      </c>
      <c r="CC39" s="166">
        <f>COUNTIFS(SEGUIMIENTO!$M$23:$M$122,"SI",SEGUIMIENTO!AD$23:AD$122,"5")</f>
        <v>0</v>
      </c>
      <c r="CD39" s="166">
        <f>COUNTIFS(SEGUIMIENTO!$M$23:$M$122,"SI",SEGUIMIENTO!AD$23:AD$122,"6")</f>
        <v>0</v>
      </c>
      <c r="CE39" s="166">
        <f>COUNTIFS(SEGUIMIENTO!$M$23:$M$122,"SI",SEGUIMIENTO!AD$23:AD$122,"7")</f>
        <v>0</v>
      </c>
      <c r="CF39" s="166">
        <f>COUNTIFS(SEGUIMIENTO!$M$23:$M$122,"SI",SEGUIMIENTO!AD$23:AD$122,"8")</f>
        <v>0</v>
      </c>
      <c r="CG39" s="165">
        <f>COUNTIFS(SEGUIMIENTO!$M$23:$M$122,"SI",SEGUIMIENTO!AD$23:AD$122,"9")</f>
        <v>0</v>
      </c>
      <c r="CH39" s="22"/>
      <c r="CI39" s="22"/>
      <c r="CJ39" s="164">
        <f>COUNTIFS(SEGUIMIENTO!$M$23:$M$122,"SI",SEGUIMIENTO!$Z$23:$Z$122,"1")</f>
        <v>0</v>
      </c>
      <c r="CK39" s="166">
        <f>COUNTIFS(SEGUIMIENTO!$M$23:$M$122,"SI",SEGUIMIENTO!$Z$23:$Z$122,"2")</f>
        <v>0</v>
      </c>
      <c r="CL39" s="166">
        <f>COUNTIFS(SEGUIMIENTO!$M$23:$M$122,"SI",SEGUIMIENTO!$Z$23:$Z$122,"3")</f>
        <v>0</v>
      </c>
      <c r="CM39" s="166">
        <f>COUNTIFS(SEGUIMIENTO!$M$23:$M$122,"SI",SEGUIMIENTO!$Z$23:$Z$122,"4")</f>
        <v>0</v>
      </c>
      <c r="CN39" s="166">
        <f>COUNTIFS(SEGUIMIENTO!$M$23:$M$122,"SI",SEGUIMIENTO!$Z$23:$Z$122,"5")</f>
        <v>0</v>
      </c>
      <c r="CO39" s="166">
        <f>COUNTIFS(SEGUIMIENTO!$M$23:$M$122,"SI",SEGUIMIENTO!$Z$23:$Z$122,"6")</f>
        <v>0</v>
      </c>
      <c r="CP39" s="166">
        <f>COUNTIFS(SEGUIMIENTO!$M$23:$M$122,"SI",SEGUIMIENTO!$Z$23:$Z$122,"7")</f>
        <v>0</v>
      </c>
      <c r="CQ39" s="166">
        <f>COUNTIFS(SEGUIMIENTO!$M$23:$M$122,"SI",SEGUIMIENTO!$Z$23:$Z$122,"8")</f>
        <v>0</v>
      </c>
      <c r="CR39" s="166">
        <f>COUNTIFS(SEGUIMIENTO!$M$23:$M$122,"SI",SEGUIMIENTO!$Z$23:$Z$122,"9")</f>
        <v>0</v>
      </c>
      <c r="CS39" s="166">
        <f>COUNTIFS(SEGUIMIENTO!$M$23:$M$122,"SI",SEGUIMIENTO!$Z$23:$Z$122,"10")</f>
        <v>0</v>
      </c>
      <c r="CT39" s="166">
        <f>COUNTIFS(SEGUIMIENTO!$M$23:$M$122,"SI",SEGUIMIENTO!$Z$23:$Z$122,"11")</f>
        <v>0</v>
      </c>
      <c r="CU39" s="166">
        <f>COUNTIFS(SEGUIMIENTO!$M$23:$M$122,"SI",SEGUIMIENTO!$Z$23:$Z$122,"12")</f>
        <v>0</v>
      </c>
      <c r="CV39" s="166">
        <f>COUNTIFS(SEGUIMIENTO!$M$23:$M$122,"SI",SEGUIMIENTO!$Z$23:$Z$122,"13")</f>
        <v>0</v>
      </c>
      <c r="CW39" s="166">
        <f>COUNTIFS(SEGUIMIENTO!$M$23:$M$122,"SI",SEGUIMIENTO!$Z$23:$Z$122,"14")</f>
        <v>0</v>
      </c>
      <c r="CX39" s="166">
        <f>COUNTIFS(SEGUIMIENTO!$M$23:$M$122,"SI",SEGUIMIENTO!$Z$23:$Z$122,"15")</f>
        <v>0</v>
      </c>
      <c r="CY39" s="166">
        <f>COUNTIFS(SEGUIMIENTO!$M$23:$M$122,"SI",SEGUIMIENTO!$Z$23:$Z$122,"16")</f>
        <v>0</v>
      </c>
      <c r="CZ39" s="165">
        <f>COUNTIFS(SEGUIMIENTO!$M$23:$M$122,"SI",SEGUIMIENTO!$Z$23:$Z$122,"N/A")</f>
        <v>0</v>
      </c>
      <c r="DA39" s="533"/>
      <c r="DB39" s="5"/>
      <c r="DC39" s="5"/>
      <c r="DD39" s="5"/>
      <c r="DE39" s="5"/>
      <c r="DF39" s="5"/>
      <c r="DG39" s="5"/>
      <c r="DH39" s="5"/>
      <c r="DI39" s="5"/>
      <c r="DJ39" s="5"/>
      <c r="DK39" s="10"/>
      <c r="DL39" s="5"/>
      <c r="DM39" s="535"/>
      <c r="DN39" s="5"/>
      <c r="DO39" s="5"/>
      <c r="DP39" s="5"/>
      <c r="DQ39" s="5"/>
      <c r="DR39" s="5"/>
      <c r="DS39" s="5"/>
      <c r="EJ39" s="285"/>
    </row>
    <row r="40" spans="2:140" s="11" customFormat="1" ht="12.45" customHeight="1" x14ac:dyDescent="0.2">
      <c r="B40" s="110"/>
      <c r="C40" s="310"/>
      <c r="D40" s="296" t="s">
        <v>60</v>
      </c>
      <c r="E40" s="304"/>
      <c r="F40" s="304"/>
      <c r="G40" s="304"/>
      <c r="H40" s="304"/>
      <c r="I40" s="304"/>
      <c r="J40" s="304"/>
      <c r="K40" s="304"/>
      <c r="L40" s="304"/>
      <c r="M40" s="151">
        <f>COUNTIF(SEGUIMIENTO!N$23:N$122,"SI")</f>
        <v>0</v>
      </c>
      <c r="N40" s="22"/>
      <c r="O40" s="182">
        <f>+AM16</f>
        <v>0</v>
      </c>
      <c r="P40" s="55">
        <f>+AM17</f>
        <v>0</v>
      </c>
      <c r="Q40" s="166">
        <f>+AM18</f>
        <v>0</v>
      </c>
      <c r="R40" s="55">
        <f>+AM19</f>
        <v>0</v>
      </c>
      <c r="S40" s="161">
        <f>+AM20</f>
        <v>0</v>
      </c>
      <c r="T40" s="16">
        <f>+AM21</f>
        <v>0</v>
      </c>
      <c r="U40" s="22"/>
      <c r="V40" s="22"/>
      <c r="W40" s="182">
        <f>+AM24</f>
        <v>0</v>
      </c>
      <c r="X40" s="55">
        <f>+AM25</f>
        <v>0</v>
      </c>
      <c r="Y40" s="166">
        <f>+AM26</f>
        <v>0</v>
      </c>
      <c r="Z40" s="55">
        <f>+AM27</f>
        <v>0</v>
      </c>
      <c r="AA40" s="161">
        <f>+AM28</f>
        <v>0</v>
      </c>
      <c r="AB40" s="55">
        <f>+AM29</f>
        <v>0</v>
      </c>
      <c r="AC40" s="198">
        <f>+AM30</f>
        <v>0</v>
      </c>
      <c r="AD40" s="22"/>
      <c r="AE40" s="22"/>
      <c r="AF40" s="182">
        <f>+AM33</f>
        <v>0</v>
      </c>
      <c r="AG40" s="16">
        <f>+AM34</f>
        <v>0</v>
      </c>
      <c r="AH40" s="22"/>
      <c r="AI40" s="22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22"/>
      <c r="AX40" s="22"/>
      <c r="AY40" s="17">
        <f>COUNTIFS(SEGUIMIENTO!$N$23:$N$122,"SI",SEGUIMIENTO!$X$23:$X$122,"SI")</f>
        <v>0</v>
      </c>
      <c r="AZ40" s="22"/>
      <c r="BA40" s="15">
        <f>COUNTIFS(SEGUIMIENTO!$N$23:$N$122,"SI",SEGUIMIENTO!$Y$23:$Y$122,"I-MB")</f>
        <v>0</v>
      </c>
      <c r="BB40" s="55">
        <f>COUNTIFS(SEGUIMIENTO!$N$23:$N$122,"SI",SEGUIMIENTO!$Y$23:$Y$122,"I-U")</f>
        <v>0</v>
      </c>
      <c r="BC40" s="55">
        <f>COUNTIFS(SEGUIMIENTO!$N$23:$N$122,"SI",SEGUIMIENTO!$Y$23:$Y$122,"I-I")</f>
        <v>0</v>
      </c>
      <c r="BD40" s="55">
        <f>COUNTIFS(SEGUIMIENTO!$N$23:$N$122,"SI",SEGUIMIENTO!$Y$23:$Y$122,"I-K")</f>
        <v>0</v>
      </c>
      <c r="BE40" s="55">
        <f>COUNTIFS(SEGUIMIENTO!$N$23:$N$122,"SI",SEGUIMIENTO!$Y$23:$Y$122,"I-FD")</f>
        <v>0</v>
      </c>
      <c r="BF40" s="55">
        <f>COUNTIFS(SEGUIMIENTO!$N$23:$N$122,"SI",SEGUIMIENTO!$Y$23:$Y$122,"NARP")</f>
        <v>0</v>
      </c>
      <c r="BG40" s="55">
        <f>COUNTIFS(SEGUIMIENTO!$N$23:$N$122,"SI",SEGUIMIENTO!$Y$23:$Y$122,"R")</f>
        <v>0</v>
      </c>
      <c r="BH40" s="16">
        <f>COUNTIFS(SEGUIMIENTO!$N$23:$N$122,"SI",SEGUIMIENTO!$Y$23:$Y$122,"N/A")</f>
        <v>0</v>
      </c>
      <c r="BI40" s="22"/>
      <c r="BJ40" s="22"/>
      <c r="BK40" s="15">
        <f>COUNTIFS(SEGUIMIENTO!$N$23:$N$122,"SI",SEGUIMIENTO!$AA$23:$AA$122,"JAC")</f>
        <v>0</v>
      </c>
      <c r="BL40" s="55">
        <f>COUNTIFS(SEGUIMIENTO!$N$23:$N$122,"SI",SEGUIMIENTO!$AA$23:$AA$122,"JAL")</f>
        <v>0</v>
      </c>
      <c r="BM40" s="55">
        <f>COUNTIFS(SEGUIMIENTO!$N$23:$N$122,"SI",SEGUIMIENTO!$AA$23:$AA$122,"AMB")</f>
        <v>0</v>
      </c>
      <c r="BN40" s="55">
        <f>COUNTIFS(SEGUIMIENTO!$N$23:$N$122,"SI",SEGUIMIENTO!$AA$23:$AA$122,"DDHH")</f>
        <v>0</v>
      </c>
      <c r="BO40" s="55">
        <f>COUNTIFS(SEGUIMIENTO!$N$23:$N$122,"SI",SEGUIMIENTO!$AA$23:$AA$122,"SIND")</f>
        <v>0</v>
      </c>
      <c r="BP40" s="55">
        <f>COUNTIFS(SEGUIMIENTO!$N$23:$N$122,"SI",SEGUIMIENTO!$AA$23:$AA$122,"REL")</f>
        <v>0</v>
      </c>
      <c r="BQ40" s="55">
        <f>COUNTIFS(SEGUIMIENTO!$N$23:$N$122,"SI",SEGUIMIENTO!$AA$23:$AA$122,"OTR")</f>
        <v>0</v>
      </c>
      <c r="BR40" s="16">
        <f>COUNTIFS(SEGUIMIENTO!$N$23:$N$122,"SI",SEGUIMIENTO!$AA$23:$AA$122,"N/A")</f>
        <v>0</v>
      </c>
      <c r="BS40" s="22"/>
      <c r="BT40" s="22"/>
      <c r="BU40" s="15">
        <f>COUNTIFS(SEGUIMIENTO!$N$23:$N$122,"SI",SEGUIMIENTO!$AB$23:$AB$122,"RUR")</f>
        <v>0</v>
      </c>
      <c r="BV40" s="16">
        <f>COUNTIFS(SEGUIMIENTO!$N$23:$N$122,"SI",SEGUIMIENTO!$AB$23:$AB$122,"URB")</f>
        <v>0</v>
      </c>
      <c r="BW40" s="22"/>
      <c r="BX40" s="22"/>
      <c r="BY40" s="15">
        <f>COUNTIFS(SEGUIMIENTO!$N$23:$N$122,"SI",SEGUIMIENTO!AD$23:AD$122,"1")</f>
        <v>0</v>
      </c>
      <c r="BZ40" s="55">
        <f>COUNTIFS(SEGUIMIENTO!$N$23:$N$122,"SI",SEGUIMIENTO!AD$23:AD$122,"2")</f>
        <v>0</v>
      </c>
      <c r="CA40" s="55">
        <f>COUNTIFS(SEGUIMIENTO!$N$23:$N$122,"SI",SEGUIMIENTO!AD$23:AD$122,"3")</f>
        <v>0</v>
      </c>
      <c r="CB40" s="55">
        <f>COUNTIFS(SEGUIMIENTO!$N$23:$N$122,"SI",SEGUIMIENTO!AD$23:AD$122,"4")</f>
        <v>0</v>
      </c>
      <c r="CC40" s="55">
        <f>COUNTIFS(SEGUIMIENTO!$N$23:$N$122,"SI",SEGUIMIENTO!AD$23:AD$122,"5")</f>
        <v>0</v>
      </c>
      <c r="CD40" s="55">
        <f>COUNTIFS(SEGUIMIENTO!$N$23:$N$122,"SI",SEGUIMIENTO!AD$23:AD$122,"6")</f>
        <v>0</v>
      </c>
      <c r="CE40" s="55">
        <f>COUNTIFS(SEGUIMIENTO!$N$23:$N$122,"SI",SEGUIMIENTO!AD$23:AD$122,"7")</f>
        <v>0</v>
      </c>
      <c r="CF40" s="55">
        <f>COUNTIFS(SEGUIMIENTO!$N$23:$N$122,"SI",SEGUIMIENTO!AD$23:AD$122,"8")</f>
        <v>0</v>
      </c>
      <c r="CG40" s="16">
        <f>COUNTIFS(SEGUIMIENTO!$N$23:$N$122,"SI",SEGUIMIENTO!AD$23:AD$122,"9")</f>
        <v>0</v>
      </c>
      <c r="CH40" s="22"/>
      <c r="CI40" s="22"/>
      <c r="CJ40" s="15">
        <f>COUNTIFS(SEGUIMIENTO!$N$23:$N$122,"SI",SEGUIMIENTO!$Z$23:$Z$122,"1")</f>
        <v>0</v>
      </c>
      <c r="CK40" s="55">
        <f>COUNTIFS(SEGUIMIENTO!$N$23:$N$122,"SI",SEGUIMIENTO!$Z$23:$Z$122,"2")</f>
        <v>0</v>
      </c>
      <c r="CL40" s="55">
        <f>COUNTIFS(SEGUIMIENTO!$N$23:$N$122,"SI",SEGUIMIENTO!$Z$23:$Z$122,"3")</f>
        <v>0</v>
      </c>
      <c r="CM40" s="55">
        <f>COUNTIFS(SEGUIMIENTO!$N$23:$N$122,"SI",SEGUIMIENTO!$Z$23:$Z$122,"4")</f>
        <v>0</v>
      </c>
      <c r="CN40" s="55">
        <f>COUNTIFS(SEGUIMIENTO!$N$23:$N$122,"SI",SEGUIMIENTO!$Z$23:$Z$122,"5")</f>
        <v>0</v>
      </c>
      <c r="CO40" s="55">
        <f>COUNTIFS(SEGUIMIENTO!$N$23:$N$122,"SI",SEGUIMIENTO!$Z$23:$Z$122,"6")</f>
        <v>0</v>
      </c>
      <c r="CP40" s="55">
        <f>COUNTIFS(SEGUIMIENTO!$N$23:$N$122,"SI",SEGUIMIENTO!$Z$23:$Z$122,"7")</f>
        <v>0</v>
      </c>
      <c r="CQ40" s="55">
        <f>COUNTIFS(SEGUIMIENTO!$N$23:$N$122,"SI",SEGUIMIENTO!$Z$23:$Z$122,"8")</f>
        <v>0</v>
      </c>
      <c r="CR40" s="55">
        <f>COUNTIFS(SEGUIMIENTO!$N$23:$N$122,"SI",SEGUIMIENTO!$Z$23:$Z$122,"9")</f>
        <v>0</v>
      </c>
      <c r="CS40" s="55">
        <f>COUNTIFS(SEGUIMIENTO!$N$23:$N$122,"SI",SEGUIMIENTO!$Z$23:$Z$122,"10")</f>
        <v>0</v>
      </c>
      <c r="CT40" s="55">
        <f>COUNTIFS(SEGUIMIENTO!$N$23:$N$122,"SI",SEGUIMIENTO!$Z$23:$Z$122,"11")</f>
        <v>0</v>
      </c>
      <c r="CU40" s="55">
        <f>COUNTIFS(SEGUIMIENTO!$N$23:$N$122,"SI",SEGUIMIENTO!$Z$23:$Z$122,"12")</f>
        <v>0</v>
      </c>
      <c r="CV40" s="55">
        <f>COUNTIFS(SEGUIMIENTO!$N$23:$N$122,"SI",SEGUIMIENTO!$Z$23:$Z$122,"13")</f>
        <v>0</v>
      </c>
      <c r="CW40" s="55">
        <f>COUNTIFS(SEGUIMIENTO!$N$23:$N$122,"SI",SEGUIMIENTO!$Z$23:$Z$122,"14")</f>
        <v>0</v>
      </c>
      <c r="CX40" s="55">
        <f>COUNTIFS(SEGUIMIENTO!$N$23:$N$122,"SI",SEGUIMIENTO!$Z$23:$Z$122,"15")</f>
        <v>0</v>
      </c>
      <c r="CY40" s="55">
        <f>COUNTIFS(SEGUIMIENTO!$N$23:$N$122,"SI",SEGUIMIENTO!$Z$23:$Z$122,"16")</f>
        <v>0</v>
      </c>
      <c r="CZ40" s="16">
        <f>COUNTIFS(SEGUIMIENTO!$N$23:$N$122,"SI",SEGUIMIENTO!$Z$23:$Z$122,"N/A")</f>
        <v>0</v>
      </c>
      <c r="DA40" s="533"/>
      <c r="DB40" s="5"/>
      <c r="DC40" s="5"/>
      <c r="DD40" s="5"/>
      <c r="DE40" s="5"/>
      <c r="DF40" s="5"/>
      <c r="DG40" s="5"/>
      <c r="DH40" s="5"/>
      <c r="DI40" s="5"/>
      <c r="DJ40" s="5"/>
      <c r="DK40" s="10"/>
      <c r="DL40" s="5"/>
      <c r="DM40" s="535"/>
      <c r="DN40" s="5"/>
      <c r="DO40" s="5"/>
      <c r="DP40" s="5"/>
      <c r="DQ40" s="5"/>
      <c r="DR40" s="5"/>
      <c r="DS40" s="5"/>
      <c r="EJ40" s="285"/>
    </row>
    <row r="41" spans="2:140" s="11" customFormat="1" ht="12.45" customHeight="1" x14ac:dyDescent="0.2">
      <c r="B41" s="110"/>
      <c r="C41" s="310"/>
      <c r="D41" s="298" t="s">
        <v>61</v>
      </c>
      <c r="E41" s="306"/>
      <c r="F41" s="306"/>
      <c r="G41" s="306"/>
      <c r="H41" s="306"/>
      <c r="I41" s="306"/>
      <c r="J41" s="306"/>
      <c r="K41" s="306"/>
      <c r="L41" s="306"/>
      <c r="M41" s="162">
        <f>COUNTIF(SEGUIMIENTO!O$23:O$122,"SI")</f>
        <v>0</v>
      </c>
      <c r="N41" s="22"/>
      <c r="O41" s="182">
        <f>+AN16</f>
        <v>0</v>
      </c>
      <c r="P41" s="55">
        <f>+AN17</f>
        <v>0</v>
      </c>
      <c r="Q41" s="166">
        <f>+AN18</f>
        <v>0</v>
      </c>
      <c r="R41" s="55">
        <f>+AN19</f>
        <v>0</v>
      </c>
      <c r="S41" s="161">
        <f>+AN20</f>
        <v>0</v>
      </c>
      <c r="T41" s="16">
        <f>+AN21</f>
        <v>0</v>
      </c>
      <c r="U41" s="22"/>
      <c r="V41" s="22"/>
      <c r="W41" s="182">
        <f>+AN24</f>
        <v>0</v>
      </c>
      <c r="X41" s="55">
        <f>+AN25</f>
        <v>0</v>
      </c>
      <c r="Y41" s="166">
        <f>+AN26</f>
        <v>0</v>
      </c>
      <c r="Z41" s="55">
        <f>+AN27</f>
        <v>0</v>
      </c>
      <c r="AA41" s="161">
        <f>+AN28</f>
        <v>0</v>
      </c>
      <c r="AB41" s="55">
        <f>+AN29</f>
        <v>0</v>
      </c>
      <c r="AC41" s="198">
        <f>+AN30</f>
        <v>0</v>
      </c>
      <c r="AD41" s="22"/>
      <c r="AE41" s="22"/>
      <c r="AF41" s="182">
        <f>+AN33</f>
        <v>0</v>
      </c>
      <c r="AG41" s="16">
        <f>+AN34</f>
        <v>0</v>
      </c>
      <c r="AH41" s="22"/>
      <c r="AI41" s="22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22"/>
      <c r="AX41" s="22"/>
      <c r="AY41" s="196">
        <f>COUNTIFS(SEGUIMIENTO!$O$23:$O$122,"SI",SEGUIMIENTO!$X$23:$X$122,"SI")</f>
        <v>0</v>
      </c>
      <c r="AZ41" s="22"/>
      <c r="BA41" s="160">
        <f>COUNTIFS(SEGUIMIENTO!$O$23:$O$122,"SI",SEGUIMIENTO!$Y$23:$Y$122,"I-MB")</f>
        <v>0</v>
      </c>
      <c r="BB41" s="161">
        <f>COUNTIFS(SEGUIMIENTO!$O$23:$O$122,"SI",SEGUIMIENTO!$Y$23:$Y$122,"I-U")</f>
        <v>0</v>
      </c>
      <c r="BC41" s="161">
        <f>COUNTIFS(SEGUIMIENTO!$O$23:$O$122,"SI",SEGUIMIENTO!$Y$23:$Y$122,"I-I")</f>
        <v>0</v>
      </c>
      <c r="BD41" s="161">
        <f>COUNTIFS(SEGUIMIENTO!$O$23:$O$122,"SI",SEGUIMIENTO!$Y$23:$Y$122,"I-K")</f>
        <v>0</v>
      </c>
      <c r="BE41" s="161">
        <f>COUNTIFS(SEGUIMIENTO!$O$23:$O$122,"SI",SEGUIMIENTO!$Y$23:$Y$122,"I-FD")</f>
        <v>0</v>
      </c>
      <c r="BF41" s="161">
        <f>COUNTIFS(SEGUIMIENTO!$O$23:$O$122,"SI",SEGUIMIENTO!$Y$23:$Y$122,"NARP")</f>
        <v>0</v>
      </c>
      <c r="BG41" s="161">
        <f>COUNTIFS(SEGUIMIENTO!$O$23:$O$122,"SI",SEGUIMIENTO!$Y$23:$Y$122,"R")</f>
        <v>0</v>
      </c>
      <c r="BH41" s="162">
        <f>COUNTIFS(SEGUIMIENTO!$O$23:$O$122,"SI",SEGUIMIENTO!$Y$23:$Y$122,"N/A")</f>
        <v>0</v>
      </c>
      <c r="BI41" s="22"/>
      <c r="BJ41" s="22"/>
      <c r="BK41" s="160">
        <f>COUNTIFS(SEGUIMIENTO!$O$23:$O$122,"SI",SEGUIMIENTO!$AA$23:$AA$122,"JAC")</f>
        <v>0</v>
      </c>
      <c r="BL41" s="161">
        <f>COUNTIFS(SEGUIMIENTO!$O$23:$O$122,"SI",SEGUIMIENTO!$AA$23:$AA$122,"JAL")</f>
        <v>0</v>
      </c>
      <c r="BM41" s="161">
        <f>COUNTIFS(SEGUIMIENTO!$O$23:$O$122,"SI",SEGUIMIENTO!$AA$23:$AA$122,"AMB")</f>
        <v>0</v>
      </c>
      <c r="BN41" s="161">
        <f>COUNTIFS(SEGUIMIENTO!$O$23:$O$122,"SI",SEGUIMIENTO!$AA$23:$AA$122,"DDHH")</f>
        <v>0</v>
      </c>
      <c r="BO41" s="161">
        <f>COUNTIFS(SEGUIMIENTO!$O$23:$O$122,"SI",SEGUIMIENTO!$AA$23:$AA$122,"SIND")</f>
        <v>0</v>
      </c>
      <c r="BP41" s="161">
        <f>COUNTIFS(SEGUIMIENTO!$O$23:$O$122,"SI",SEGUIMIENTO!$AA$23:$AA$122,"REL")</f>
        <v>0</v>
      </c>
      <c r="BQ41" s="161">
        <f>COUNTIFS(SEGUIMIENTO!$O$23:$O$122,"SI",SEGUIMIENTO!$AA$23:$AA$122,"OTR")</f>
        <v>0</v>
      </c>
      <c r="BR41" s="162">
        <f>COUNTIFS(SEGUIMIENTO!$O$23:$O$122,"SI",SEGUIMIENTO!$AA$23:$AA$122,"N/A")</f>
        <v>0</v>
      </c>
      <c r="BS41" s="22"/>
      <c r="BT41" s="22"/>
      <c r="BU41" s="160">
        <f>COUNTIFS(SEGUIMIENTO!$O$23:$O$122,"SI",SEGUIMIENTO!$AB$23:$AB$122,"RUR")</f>
        <v>0</v>
      </c>
      <c r="BV41" s="162">
        <f>COUNTIFS(SEGUIMIENTO!$O$23:$O$122,"SI",SEGUIMIENTO!$AB$23:$AB$122,"URB")</f>
        <v>0</v>
      </c>
      <c r="BW41" s="22"/>
      <c r="BX41" s="22"/>
      <c r="BY41" s="160">
        <f>COUNTIFS(SEGUIMIENTO!$O$23:$O$122,"SI",SEGUIMIENTO!AD$23:AD$122,"1")</f>
        <v>0</v>
      </c>
      <c r="BZ41" s="161">
        <f>COUNTIFS(SEGUIMIENTO!$O$23:$O$122,"SI",SEGUIMIENTO!AD$23:AD$122,"2")</f>
        <v>0</v>
      </c>
      <c r="CA41" s="161">
        <f>COUNTIFS(SEGUIMIENTO!$O$23:$O$122,"SI",SEGUIMIENTO!AD$23:AD$122,"3")</f>
        <v>0</v>
      </c>
      <c r="CB41" s="161">
        <f>COUNTIFS(SEGUIMIENTO!$O$23:$O$122,"SI",SEGUIMIENTO!AD$23:AD$122,"4")</f>
        <v>0</v>
      </c>
      <c r="CC41" s="161">
        <f>COUNTIFS(SEGUIMIENTO!$O$23:$O$122,"SI",SEGUIMIENTO!AD$23:AD$122,"5")</f>
        <v>0</v>
      </c>
      <c r="CD41" s="161">
        <f>COUNTIFS(SEGUIMIENTO!$O$23:$O$122,"SI",SEGUIMIENTO!AD$23:AD$122,"6")</f>
        <v>0</v>
      </c>
      <c r="CE41" s="161">
        <f>COUNTIFS(SEGUIMIENTO!$O$23:$O$122,"SI",SEGUIMIENTO!AD$23:AD$122,"7")</f>
        <v>0</v>
      </c>
      <c r="CF41" s="161">
        <f>COUNTIFS(SEGUIMIENTO!$O$23:$O$122,"SI",SEGUIMIENTO!AD$23:AD$122,"8")</f>
        <v>0</v>
      </c>
      <c r="CG41" s="162">
        <f>COUNTIFS(SEGUIMIENTO!$O$23:$O$122,"SI",SEGUIMIENTO!AD$23:AD$122,"9")</f>
        <v>0</v>
      </c>
      <c r="CH41" s="22"/>
      <c r="CI41" s="22"/>
      <c r="CJ41" s="160">
        <f>COUNTIFS(SEGUIMIENTO!$O$23:$O$122,"SI",SEGUIMIENTO!$Z$23:$Z$122,"1")</f>
        <v>0</v>
      </c>
      <c r="CK41" s="161">
        <f>COUNTIFS(SEGUIMIENTO!$O$23:$O$122,"SI",SEGUIMIENTO!$Z$23:$Z$122,"2")</f>
        <v>0</v>
      </c>
      <c r="CL41" s="161">
        <f>COUNTIFS(SEGUIMIENTO!$O$23:$O$122,"SI",SEGUIMIENTO!$Z$23:$Z$122,"3")</f>
        <v>0</v>
      </c>
      <c r="CM41" s="161">
        <f>COUNTIFS(SEGUIMIENTO!$O$23:$O$122,"SI",SEGUIMIENTO!$Z$23:$Z$122,"4")</f>
        <v>0</v>
      </c>
      <c r="CN41" s="161">
        <f>COUNTIFS(SEGUIMIENTO!$O$23:$O$122,"SI",SEGUIMIENTO!$Z$23:$Z$122,"5")</f>
        <v>0</v>
      </c>
      <c r="CO41" s="161">
        <f>COUNTIFS(SEGUIMIENTO!$O$23:$O$122,"SI",SEGUIMIENTO!$Z$23:$Z$122,"6")</f>
        <v>0</v>
      </c>
      <c r="CP41" s="161">
        <f>COUNTIFS(SEGUIMIENTO!$O$23:$O$122,"SI",SEGUIMIENTO!$Z$23:$Z$122,"7")</f>
        <v>0</v>
      </c>
      <c r="CQ41" s="161">
        <f>COUNTIFS(SEGUIMIENTO!$O$23:$O$122,"SI",SEGUIMIENTO!$Z$23:$Z$122,"8")</f>
        <v>0</v>
      </c>
      <c r="CR41" s="161">
        <f>COUNTIFS(SEGUIMIENTO!$O$23:$O$122,"SI",SEGUIMIENTO!$Z$23:$Z$122,"9")</f>
        <v>0</v>
      </c>
      <c r="CS41" s="161">
        <f>COUNTIFS(SEGUIMIENTO!$O$23:$O$122,"SI",SEGUIMIENTO!$Z$23:$Z$122,"10")</f>
        <v>0</v>
      </c>
      <c r="CT41" s="161">
        <f>COUNTIFS(SEGUIMIENTO!$O$23:$O$122,"SI",SEGUIMIENTO!$Z$23:$Z$122,"11")</f>
        <v>0</v>
      </c>
      <c r="CU41" s="161">
        <f>COUNTIFS(SEGUIMIENTO!$O$23:$O$122,"SI",SEGUIMIENTO!$Z$23:$Z$122,"12")</f>
        <v>0</v>
      </c>
      <c r="CV41" s="161">
        <f>COUNTIFS(SEGUIMIENTO!$O$23:$O$122,"SI",SEGUIMIENTO!$Z$23:$Z$122,"13")</f>
        <v>0</v>
      </c>
      <c r="CW41" s="161">
        <f>COUNTIFS(SEGUIMIENTO!$O$23:$O$122,"SI",SEGUIMIENTO!$Z$23:$Z$122,"14")</f>
        <v>0</v>
      </c>
      <c r="CX41" s="161">
        <f>COUNTIFS(SEGUIMIENTO!$O$23:$O$122,"SI",SEGUIMIENTO!$Z$23:$Z$122,"15")</f>
        <v>0</v>
      </c>
      <c r="CY41" s="161">
        <f>COUNTIFS(SEGUIMIENTO!$O$23:$O$122,"SI",SEGUIMIENTO!$Z$23:$Z$122,"16")</f>
        <v>0</v>
      </c>
      <c r="CZ41" s="162">
        <f>COUNTIFS(SEGUIMIENTO!$O$23:$O$122,"SI",SEGUIMIENTO!$Z$23:$Z$122,"N/A")</f>
        <v>0</v>
      </c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10"/>
      <c r="DL41" s="5"/>
      <c r="DM41" s="535"/>
      <c r="DN41" s="5"/>
      <c r="DO41" s="5"/>
      <c r="DP41" s="5"/>
      <c r="DQ41" s="5"/>
      <c r="DR41" s="5"/>
      <c r="DS41" s="5"/>
      <c r="EJ41" s="285"/>
    </row>
    <row r="42" spans="2:140" s="11" customFormat="1" ht="12.45" customHeight="1" x14ac:dyDescent="0.2">
      <c r="B42" s="110"/>
      <c r="C42" s="310"/>
      <c r="D42" s="296" t="s">
        <v>63</v>
      </c>
      <c r="E42" s="304"/>
      <c r="F42" s="304"/>
      <c r="G42" s="304"/>
      <c r="H42" s="304"/>
      <c r="I42" s="304"/>
      <c r="J42" s="304"/>
      <c r="K42" s="304"/>
      <c r="L42" s="304"/>
      <c r="M42" s="151">
        <f>COUNTIF(SEGUIMIENTO!P$23:P$122,"SI")</f>
        <v>0</v>
      </c>
      <c r="N42" s="22"/>
      <c r="O42" s="182">
        <f>+AO16</f>
        <v>0</v>
      </c>
      <c r="P42" s="55">
        <f>+AO17</f>
        <v>0</v>
      </c>
      <c r="Q42" s="166">
        <f>+AO18</f>
        <v>0</v>
      </c>
      <c r="R42" s="55">
        <f>+AO19</f>
        <v>0</v>
      </c>
      <c r="S42" s="161">
        <f>+AO20</f>
        <v>0</v>
      </c>
      <c r="T42" s="16">
        <f>+AO21</f>
        <v>0</v>
      </c>
      <c r="U42" s="22"/>
      <c r="V42" s="22"/>
      <c r="W42" s="182">
        <f>+AO24</f>
        <v>0</v>
      </c>
      <c r="X42" s="55">
        <f>+AO25</f>
        <v>0</v>
      </c>
      <c r="Y42" s="166">
        <f>+AO26</f>
        <v>0</v>
      </c>
      <c r="Z42" s="55">
        <f>+AO27</f>
        <v>0</v>
      </c>
      <c r="AA42" s="161">
        <f>+AO28</f>
        <v>0</v>
      </c>
      <c r="AB42" s="55">
        <f>+AO29</f>
        <v>0</v>
      </c>
      <c r="AC42" s="198">
        <f>+AO30</f>
        <v>0</v>
      </c>
      <c r="AD42" s="22"/>
      <c r="AE42" s="22"/>
      <c r="AF42" s="182">
        <f>+AO33</f>
        <v>0</v>
      </c>
      <c r="AG42" s="16">
        <f>+AO34</f>
        <v>0</v>
      </c>
      <c r="AH42" s="22"/>
      <c r="AI42" s="22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22"/>
      <c r="AX42" s="22"/>
      <c r="AY42" s="17">
        <f>COUNTIFS(SEGUIMIENTO!$P$23:$P$122,"SI",SEGUIMIENTO!$X$23:$X$122,"SI")</f>
        <v>0</v>
      </c>
      <c r="AZ42" s="22"/>
      <c r="BA42" s="15">
        <f>COUNTIFS(SEGUIMIENTO!$P$23:$P$122,"SI",SEGUIMIENTO!$Y$23:$Y$122,"I-MB")</f>
        <v>0</v>
      </c>
      <c r="BB42" s="55">
        <f>COUNTIFS(SEGUIMIENTO!$P$23:$P$122,"SI",SEGUIMIENTO!$Y$23:$Y$122,"I-U")</f>
        <v>0</v>
      </c>
      <c r="BC42" s="55">
        <f>COUNTIFS(SEGUIMIENTO!$P$23:$P$122,"SI",SEGUIMIENTO!$Y$23:$Y$122,"I-I")</f>
        <v>0</v>
      </c>
      <c r="BD42" s="55">
        <f>COUNTIFS(SEGUIMIENTO!$P$23:$P$122,"SI",SEGUIMIENTO!$Y$23:$Y$122,"I-K")</f>
        <v>0</v>
      </c>
      <c r="BE42" s="55">
        <f>COUNTIFS(SEGUIMIENTO!$P$23:$P$122,"SI",SEGUIMIENTO!$Y$23:$Y$122,"I-FD")</f>
        <v>0</v>
      </c>
      <c r="BF42" s="55">
        <f>COUNTIFS(SEGUIMIENTO!$P$23:$P$122,"SI",SEGUIMIENTO!$Y$23:$Y$122,"NARP")</f>
        <v>0</v>
      </c>
      <c r="BG42" s="55">
        <f>COUNTIFS(SEGUIMIENTO!$P$23:$P$122,"SI",SEGUIMIENTO!$Y$23:$Y$122,"R")</f>
        <v>0</v>
      </c>
      <c r="BH42" s="16">
        <f>COUNTIFS(SEGUIMIENTO!$P$23:$P$122,"SI",SEGUIMIENTO!$Y$23:$Y$122,"N/A")</f>
        <v>0</v>
      </c>
      <c r="BI42" s="22"/>
      <c r="BJ42" s="22"/>
      <c r="BK42" s="15">
        <f>COUNTIFS(SEGUIMIENTO!$P$23:$P$122,"SI",SEGUIMIENTO!$AA$23:$AA$122,"JAC")</f>
        <v>0</v>
      </c>
      <c r="BL42" s="55">
        <f>COUNTIFS(SEGUIMIENTO!$P$23:$P$122,"SI",SEGUIMIENTO!$AA$23:$AA$122,"JAL")</f>
        <v>0</v>
      </c>
      <c r="BM42" s="55">
        <f>COUNTIFS(SEGUIMIENTO!$P$23:$P$122,"SI",SEGUIMIENTO!$AA$23:$AA$122,"AMB")</f>
        <v>0</v>
      </c>
      <c r="BN42" s="55">
        <f>COUNTIFS(SEGUIMIENTO!$P$23:$P$122,"SI",SEGUIMIENTO!$AA$23:$AA$122,"DDHH")</f>
        <v>0</v>
      </c>
      <c r="BO42" s="55">
        <f>COUNTIFS(SEGUIMIENTO!$P$23:$P$122,"SI",SEGUIMIENTO!$AA$23:$AA$122,"SIND")</f>
        <v>0</v>
      </c>
      <c r="BP42" s="55">
        <f>COUNTIFS(SEGUIMIENTO!$P$23:$P$122,"SI",SEGUIMIENTO!$AA$23:$AA$122,"REL")</f>
        <v>0</v>
      </c>
      <c r="BQ42" s="55">
        <f>COUNTIFS(SEGUIMIENTO!$P$23:$P$122,"SI",SEGUIMIENTO!$AA$23:$AA$122,"OTR")</f>
        <v>0</v>
      </c>
      <c r="BR42" s="16">
        <f>COUNTIFS(SEGUIMIENTO!$P$23:$P$122,"SI",SEGUIMIENTO!$AA$23:$AA$122,"N/A")</f>
        <v>0</v>
      </c>
      <c r="BS42" s="22"/>
      <c r="BT42" s="22"/>
      <c r="BU42" s="15">
        <f>COUNTIFS(SEGUIMIENTO!$P$23:$P$122,"SI",SEGUIMIENTO!$AB$23:$AB$122,"RUR")</f>
        <v>0</v>
      </c>
      <c r="BV42" s="16">
        <f>COUNTIFS(SEGUIMIENTO!$P$23:$P$122,"SI",SEGUIMIENTO!$AB$23:$AB$122,"URB")</f>
        <v>0</v>
      </c>
      <c r="BW42" s="22"/>
      <c r="BX42" s="22"/>
      <c r="BY42" s="15">
        <f>COUNTIFS(SEGUIMIENTO!$P$23:$P$122,"SI",SEGUIMIENTO!AD$23:AD$122,"1")</f>
        <v>0</v>
      </c>
      <c r="BZ42" s="55">
        <f>COUNTIFS(SEGUIMIENTO!$P$23:$P$122,"SI",SEGUIMIENTO!AD$23:AD$122,"2")</f>
        <v>0</v>
      </c>
      <c r="CA42" s="55">
        <f>COUNTIFS(SEGUIMIENTO!$P$23:$P$122,"SI",SEGUIMIENTO!AD$23:AD$122,"3")</f>
        <v>0</v>
      </c>
      <c r="CB42" s="55">
        <f>COUNTIFS(SEGUIMIENTO!$P$23:$P$122,"SI",SEGUIMIENTO!AD$23:AD$122,"4")</f>
        <v>0</v>
      </c>
      <c r="CC42" s="55">
        <f>COUNTIFS(SEGUIMIENTO!$P$23:$P$122,"SI",SEGUIMIENTO!AD$23:AD$122,"5")</f>
        <v>0</v>
      </c>
      <c r="CD42" s="55">
        <f>COUNTIFS(SEGUIMIENTO!$P$23:$P$122,"SI",SEGUIMIENTO!AD$23:AD$122,"6")</f>
        <v>0</v>
      </c>
      <c r="CE42" s="55">
        <f>COUNTIFS(SEGUIMIENTO!$P$23:$P$122,"SI",SEGUIMIENTO!AD$23:AD$122,"7")</f>
        <v>0</v>
      </c>
      <c r="CF42" s="55">
        <f>COUNTIFS(SEGUIMIENTO!$P$23:$P$122,"SI",SEGUIMIENTO!AD$23:AD$122,"8")</f>
        <v>0</v>
      </c>
      <c r="CG42" s="16">
        <f>COUNTIFS(SEGUIMIENTO!$P$23:$P$122,"SI",SEGUIMIENTO!AD$23:AD$122,"9")</f>
        <v>0</v>
      </c>
      <c r="CH42" s="22"/>
      <c r="CI42" s="22"/>
      <c r="CJ42" s="15">
        <f>COUNTIFS(SEGUIMIENTO!$P$23:$P$122,"SI",SEGUIMIENTO!$Z$23:$Z$122,"1")</f>
        <v>0</v>
      </c>
      <c r="CK42" s="55">
        <f>COUNTIFS(SEGUIMIENTO!$P$23:$P$122,"SI",SEGUIMIENTO!$Z$23:$Z$122,"2")</f>
        <v>0</v>
      </c>
      <c r="CL42" s="55">
        <f>COUNTIFS(SEGUIMIENTO!$P$23:$P$122,"SI",SEGUIMIENTO!$Z$23:$Z$122,"3")</f>
        <v>0</v>
      </c>
      <c r="CM42" s="55">
        <f>COUNTIFS(SEGUIMIENTO!$P$23:$P$122,"SI",SEGUIMIENTO!$Z$23:$Z$122,"4")</f>
        <v>0</v>
      </c>
      <c r="CN42" s="55">
        <f>COUNTIFS(SEGUIMIENTO!$P$23:$P$122,"SI",SEGUIMIENTO!$Z$23:$Z$122,"5")</f>
        <v>0</v>
      </c>
      <c r="CO42" s="55">
        <f>COUNTIFS(SEGUIMIENTO!$P$23:$P$122,"SI",SEGUIMIENTO!$Z$23:$Z$122,"6")</f>
        <v>0</v>
      </c>
      <c r="CP42" s="55">
        <f>COUNTIFS(SEGUIMIENTO!$P$23:$P$122,"SI",SEGUIMIENTO!$Z$23:$Z$122,"7")</f>
        <v>0</v>
      </c>
      <c r="CQ42" s="55">
        <f>COUNTIFS(SEGUIMIENTO!$P$23:$P$122,"SI",SEGUIMIENTO!$Z$23:$Z$122,"8")</f>
        <v>0</v>
      </c>
      <c r="CR42" s="55">
        <f>COUNTIFS(SEGUIMIENTO!$P$23:$P$122,"SI",SEGUIMIENTO!$Z$23:$Z$122,"9")</f>
        <v>0</v>
      </c>
      <c r="CS42" s="55">
        <f>COUNTIFS(SEGUIMIENTO!$P$23:$P$122,"SI",SEGUIMIENTO!$Z$23:$Z$122,"10")</f>
        <v>0</v>
      </c>
      <c r="CT42" s="55">
        <f>COUNTIFS(SEGUIMIENTO!$P$23:$P$122,"SI",SEGUIMIENTO!$Z$23:$Z$122,"11")</f>
        <v>0</v>
      </c>
      <c r="CU42" s="55">
        <f>COUNTIFS(SEGUIMIENTO!$P$23:$P$122,"SI",SEGUIMIENTO!$Z$23:$Z$122,"12")</f>
        <v>0</v>
      </c>
      <c r="CV42" s="55">
        <f>COUNTIFS(SEGUIMIENTO!$P$23:$P$122,"SI",SEGUIMIENTO!$Z$23:$Z$122,"13")</f>
        <v>0</v>
      </c>
      <c r="CW42" s="55">
        <f>COUNTIFS(SEGUIMIENTO!$P$23:$P$122,"SI",SEGUIMIENTO!$Z$23:$Z$122,"14")</f>
        <v>0</v>
      </c>
      <c r="CX42" s="55">
        <f>COUNTIFS(SEGUIMIENTO!$P$23:$P$122,"SI",SEGUIMIENTO!$Z$23:$Z$122,"15")</f>
        <v>0</v>
      </c>
      <c r="CY42" s="55">
        <f>COUNTIFS(SEGUIMIENTO!$P$23:$P$122,"SI",SEGUIMIENTO!$Z$23:$Z$122,"16")</f>
        <v>0</v>
      </c>
      <c r="CZ42" s="16">
        <f>COUNTIFS(SEGUIMIENTO!$P$23:$P$122,"SI",SEGUIMIENTO!$Z$23:$Z$122,"N/A")</f>
        <v>0</v>
      </c>
      <c r="DA42" s="533"/>
      <c r="DB42" s="5"/>
      <c r="DC42" s="5"/>
      <c r="DD42" s="5"/>
      <c r="DE42" s="5"/>
      <c r="DF42" s="5"/>
      <c r="DG42" s="5"/>
      <c r="DH42" s="5"/>
      <c r="DI42" s="5"/>
      <c r="DJ42" s="5"/>
      <c r="DK42" s="10"/>
      <c r="DL42" s="5"/>
      <c r="DM42" s="535"/>
      <c r="DN42" s="5"/>
      <c r="DO42" s="5"/>
      <c r="DP42" s="5"/>
      <c r="DQ42" s="5"/>
      <c r="DR42" s="5"/>
      <c r="DS42" s="5"/>
      <c r="EJ42" s="5"/>
    </row>
    <row r="43" spans="2:140" s="11" customFormat="1" ht="12.45" customHeight="1" x14ac:dyDescent="0.2">
      <c r="B43" s="110"/>
      <c r="C43" s="310"/>
      <c r="D43" s="313" t="s">
        <v>70</v>
      </c>
      <c r="E43" s="312"/>
      <c r="F43" s="312"/>
      <c r="G43" s="312"/>
      <c r="H43" s="312"/>
      <c r="I43" s="312"/>
      <c r="J43" s="312"/>
      <c r="K43" s="312"/>
      <c r="L43" s="312"/>
      <c r="M43" s="198">
        <f>COUNTIF(SEGUIMIENTO!Q$23:Q$122,"SI")</f>
        <v>0</v>
      </c>
      <c r="N43" s="22"/>
      <c r="O43" s="182">
        <f>+AP16</f>
        <v>0</v>
      </c>
      <c r="P43" s="55">
        <f>+AP17</f>
        <v>0</v>
      </c>
      <c r="Q43" s="166">
        <f>+AP18</f>
        <v>0</v>
      </c>
      <c r="R43" s="55">
        <f>+AP19</f>
        <v>0</v>
      </c>
      <c r="S43" s="161">
        <f>+AP20</f>
        <v>0</v>
      </c>
      <c r="T43" s="16">
        <f>+AP21</f>
        <v>0</v>
      </c>
      <c r="U43" s="22"/>
      <c r="V43" s="22"/>
      <c r="W43" s="182">
        <f>+AP24</f>
        <v>0</v>
      </c>
      <c r="X43" s="55">
        <f>+AP25</f>
        <v>0</v>
      </c>
      <c r="Y43" s="166">
        <f>+AP26</f>
        <v>0</v>
      </c>
      <c r="Z43" s="55">
        <f>+AP27</f>
        <v>0</v>
      </c>
      <c r="AA43" s="161">
        <f>+AP28</f>
        <v>0</v>
      </c>
      <c r="AB43" s="55">
        <f>+AP29</f>
        <v>0</v>
      </c>
      <c r="AC43" s="198">
        <f>+AP30</f>
        <v>0</v>
      </c>
      <c r="AD43" s="22"/>
      <c r="AE43" s="22"/>
      <c r="AF43" s="182">
        <f>+AP33</f>
        <v>0</v>
      </c>
      <c r="AG43" s="16">
        <f>+AP34</f>
        <v>0</v>
      </c>
      <c r="AH43" s="22"/>
      <c r="AI43" s="22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22"/>
      <c r="AX43" s="22"/>
      <c r="AY43" s="202">
        <f>COUNTIFS(SEGUIMIENTO!$Q$23:$Q$122,"SI",SEGUIMIENTO!$X$23:$X$122,"SI")</f>
        <v>0</v>
      </c>
      <c r="AZ43" s="22"/>
      <c r="BA43" s="206">
        <f>COUNTIFS(SEGUIMIENTO!$Q$23:$Q$122,"SI",SEGUIMIENTO!$Y$23:$Y$122,"I-MB")</f>
        <v>0</v>
      </c>
      <c r="BB43" s="207">
        <f>COUNTIFS(SEGUIMIENTO!$Q$23:$Q$122,"SI",SEGUIMIENTO!$Y$23:$Y$122,"I-U")</f>
        <v>0</v>
      </c>
      <c r="BC43" s="207">
        <f>COUNTIFS(SEGUIMIENTO!$Q$23:$Q$122,"SI",SEGUIMIENTO!$Y$23:$Y$122,"I-I")</f>
        <v>0</v>
      </c>
      <c r="BD43" s="207">
        <f>COUNTIFS(SEGUIMIENTO!$Q$23:$Q$122,"SI",SEGUIMIENTO!$Y$23:$Y$122,"I-K")</f>
        <v>0</v>
      </c>
      <c r="BE43" s="207">
        <f>COUNTIFS(SEGUIMIENTO!$Q$23:$Q$122,"SI",SEGUIMIENTO!$Y$23:$Y$122,"I-FD")</f>
        <v>0</v>
      </c>
      <c r="BF43" s="207">
        <f>COUNTIFS(SEGUIMIENTO!$Q$23:$Q$122,"SI",SEGUIMIENTO!$Y$23:$Y$122,"NARP")</f>
        <v>0</v>
      </c>
      <c r="BG43" s="207">
        <f>COUNTIFS(SEGUIMIENTO!$Q$23:$Q$122,"SI",SEGUIMIENTO!$Y$23:$Y$122,"R")</f>
        <v>0</v>
      </c>
      <c r="BH43" s="198">
        <f>COUNTIFS(SEGUIMIENTO!$Q$23:$Q$122,"SI",SEGUIMIENTO!$Y$23:$Y$122,"N/A")</f>
        <v>0</v>
      </c>
      <c r="BI43" s="22"/>
      <c r="BJ43" s="22"/>
      <c r="BK43" s="206">
        <f>COUNTIFS(SEGUIMIENTO!$Q$23:$Q$122,"SI",SEGUIMIENTO!$AA$23:$AA$122,"JAC")</f>
        <v>0</v>
      </c>
      <c r="BL43" s="207">
        <f>COUNTIFS(SEGUIMIENTO!$Q$23:$Q$122,"SI",SEGUIMIENTO!$AA$23:$AA$122,"JAL")</f>
        <v>0</v>
      </c>
      <c r="BM43" s="207">
        <f>COUNTIFS(SEGUIMIENTO!$Q$23:$Q$122,"SI",SEGUIMIENTO!$AA$23:$AA$122,"AMB")</f>
        <v>0</v>
      </c>
      <c r="BN43" s="207">
        <f>COUNTIFS(SEGUIMIENTO!$Q$23:$Q$122,"SI",SEGUIMIENTO!$AA$23:$AA$122,"DDHH")</f>
        <v>0</v>
      </c>
      <c r="BO43" s="207">
        <f>COUNTIFS(SEGUIMIENTO!$Q$23:$Q$122,"SI",SEGUIMIENTO!$AA$23:$AA$122,"SIND")</f>
        <v>0</v>
      </c>
      <c r="BP43" s="207">
        <f>COUNTIFS(SEGUIMIENTO!$Q$23:$Q$122,"SI",SEGUIMIENTO!$AA$23:$AA$122,"REL")</f>
        <v>0</v>
      </c>
      <c r="BQ43" s="207">
        <f>COUNTIFS(SEGUIMIENTO!$Q$23:$Q$122,"SI",SEGUIMIENTO!$AA$23:$AA$122,"OTR")</f>
        <v>0</v>
      </c>
      <c r="BR43" s="198">
        <f>COUNTIFS(SEGUIMIENTO!$Q$23:$Q$122,"SI",SEGUIMIENTO!$AA$23:$AA$122,"N/A")</f>
        <v>0</v>
      </c>
      <c r="BS43" s="22"/>
      <c r="BT43" s="22"/>
      <c r="BU43" s="206">
        <f>COUNTIFS(SEGUIMIENTO!$Q$23:$Q$122,"SI",SEGUIMIENTO!$AB$23:$AB$122,"RUR")</f>
        <v>0</v>
      </c>
      <c r="BV43" s="198">
        <f>COUNTIFS(SEGUIMIENTO!$Q$23:$Q$122,"SI",SEGUIMIENTO!$AB$23:$AB$122,"URB")</f>
        <v>0</v>
      </c>
      <c r="BW43" s="22"/>
      <c r="BX43" s="22"/>
      <c r="BY43" s="206">
        <f>COUNTIFS(SEGUIMIENTO!$Q$23:$Q$122,"SI",SEGUIMIENTO!AD$23:AD$122,"1")</f>
        <v>0</v>
      </c>
      <c r="BZ43" s="207">
        <f>COUNTIFS(SEGUIMIENTO!$Q$23:$Q$122,"SI",SEGUIMIENTO!AD$23:AD$122,"2")</f>
        <v>0</v>
      </c>
      <c r="CA43" s="207">
        <f>COUNTIFS(SEGUIMIENTO!$Q$23:$Q$122,"SI",SEGUIMIENTO!AD$23:AD$122,"3")</f>
        <v>0</v>
      </c>
      <c r="CB43" s="207">
        <f>COUNTIFS(SEGUIMIENTO!$Q$23:$Q$122,"SI",SEGUIMIENTO!AD$23:AD$122,"4")</f>
        <v>0</v>
      </c>
      <c r="CC43" s="207">
        <f>COUNTIFS(SEGUIMIENTO!$Q$23:$Q$122,"SI",SEGUIMIENTO!AD$23:AD$122,"5")</f>
        <v>0</v>
      </c>
      <c r="CD43" s="207">
        <f>COUNTIFS(SEGUIMIENTO!$Q$23:$Q$122,"SI",SEGUIMIENTO!AD$23:AD$122,"6")</f>
        <v>0</v>
      </c>
      <c r="CE43" s="207">
        <f>COUNTIFS(SEGUIMIENTO!$Q$23:$Q$122,"SI",SEGUIMIENTO!AD$23:AD$122,"7")</f>
        <v>0</v>
      </c>
      <c r="CF43" s="207">
        <f>COUNTIFS(SEGUIMIENTO!$Q$23:$Q$122,"SI",SEGUIMIENTO!AD$23:AD$122,"8")</f>
        <v>0</v>
      </c>
      <c r="CG43" s="198">
        <f>COUNTIFS(SEGUIMIENTO!$Q$23:$Q$122,"SI",SEGUIMIENTO!AD$23:AD$122,"9")</f>
        <v>0</v>
      </c>
      <c r="CH43" s="22"/>
      <c r="CI43" s="22"/>
      <c r="CJ43" s="206">
        <f>COUNTIFS(SEGUIMIENTO!$Q$23:$Q$122,"SI",SEGUIMIENTO!$Z$23:$Z$122,"1")</f>
        <v>0</v>
      </c>
      <c r="CK43" s="207">
        <f>COUNTIFS(SEGUIMIENTO!$Q$23:$Q$122,"SI",SEGUIMIENTO!$Z$23:$Z$122,"2")</f>
        <v>0</v>
      </c>
      <c r="CL43" s="207">
        <f>COUNTIFS(SEGUIMIENTO!$Q$23:$Q$122,"SI",SEGUIMIENTO!$Z$23:$Z$122,"3")</f>
        <v>0</v>
      </c>
      <c r="CM43" s="207">
        <f>COUNTIFS(SEGUIMIENTO!$Q$23:$Q$122,"SI",SEGUIMIENTO!$Z$23:$Z$122,"4")</f>
        <v>0</v>
      </c>
      <c r="CN43" s="207">
        <f>COUNTIFS(SEGUIMIENTO!$Q$23:$Q$122,"SI",SEGUIMIENTO!$Z$23:$Z$122,"5")</f>
        <v>0</v>
      </c>
      <c r="CO43" s="207">
        <f>COUNTIFS(SEGUIMIENTO!$Q$23:$Q$122,"SI",SEGUIMIENTO!$Z$23:$Z$122,"6")</f>
        <v>0</v>
      </c>
      <c r="CP43" s="207">
        <f>COUNTIFS(SEGUIMIENTO!$Q$23:$Q$122,"SI",SEGUIMIENTO!$Z$23:$Z$122,"7")</f>
        <v>0</v>
      </c>
      <c r="CQ43" s="207">
        <f>COUNTIFS(SEGUIMIENTO!$Q$23:$Q$122,"SI",SEGUIMIENTO!$Z$23:$Z$122,"8")</f>
        <v>0</v>
      </c>
      <c r="CR43" s="207">
        <f>COUNTIFS(SEGUIMIENTO!$Q$23:$Q$122,"SI",SEGUIMIENTO!$Z$23:$Z$122,"9")</f>
        <v>0</v>
      </c>
      <c r="CS43" s="207">
        <f>COUNTIFS(SEGUIMIENTO!$Q$23:$Q$122,"SI",SEGUIMIENTO!$Z$23:$Z$122,"10")</f>
        <v>0</v>
      </c>
      <c r="CT43" s="207">
        <f>COUNTIFS(SEGUIMIENTO!$Q$23:$Q$122,"SI",SEGUIMIENTO!$Z$23:$Z$122,"11")</f>
        <v>0</v>
      </c>
      <c r="CU43" s="207">
        <f>COUNTIFS(SEGUIMIENTO!$Q$23:$Q$122,"SI",SEGUIMIENTO!$Z$23:$Z$122,"12")</f>
        <v>0</v>
      </c>
      <c r="CV43" s="207">
        <f>COUNTIFS(SEGUIMIENTO!$Q$23:$Q$122,"SI",SEGUIMIENTO!$Z$23:$Z$122,"13")</f>
        <v>0</v>
      </c>
      <c r="CW43" s="207">
        <f>COUNTIFS(SEGUIMIENTO!$Q$23:$Q$122,"SI",SEGUIMIENTO!$Z$23:$Z$122,"14")</f>
        <v>0</v>
      </c>
      <c r="CX43" s="207">
        <f>COUNTIFS(SEGUIMIENTO!$Q$23:$Q$122,"SI",SEGUIMIENTO!$Z$23:$Z$122,"15")</f>
        <v>0</v>
      </c>
      <c r="CY43" s="207">
        <f>COUNTIFS(SEGUIMIENTO!$Q$23:$Q$122,"SI",SEGUIMIENTO!$Z$23:$Z$122,"16")</f>
        <v>0</v>
      </c>
      <c r="CZ43" s="198">
        <f>COUNTIFS(SEGUIMIENTO!$Q$23:$Q$122,"SI",SEGUIMIENTO!$Z$23:$Z$122,"N/A")</f>
        <v>0</v>
      </c>
      <c r="DA43" s="533"/>
      <c r="DB43" s="5"/>
      <c r="DC43" s="5"/>
      <c r="DD43" s="5"/>
      <c r="DE43" s="5"/>
      <c r="DF43" s="5"/>
      <c r="DG43" s="5"/>
      <c r="DH43" s="5"/>
      <c r="DI43" s="5"/>
      <c r="DJ43" s="5"/>
      <c r="DK43" s="10"/>
      <c r="DL43" s="5"/>
      <c r="DM43" s="535"/>
      <c r="DN43" s="5"/>
      <c r="DO43" s="5"/>
      <c r="DP43" s="5"/>
      <c r="DQ43" s="5"/>
      <c r="DR43" s="5"/>
      <c r="DS43" s="5"/>
      <c r="EJ43" s="285"/>
    </row>
    <row r="44" spans="2:140" s="11" customFormat="1" ht="12.45" customHeight="1" x14ac:dyDescent="0.2">
      <c r="B44" s="110"/>
      <c r="C44" s="310"/>
      <c r="D44" s="85" t="s">
        <v>64</v>
      </c>
      <c r="E44" s="80"/>
      <c r="F44" s="80"/>
      <c r="G44" s="80"/>
      <c r="H44" s="80"/>
      <c r="I44" s="80"/>
      <c r="J44" s="80"/>
      <c r="K44" s="80"/>
      <c r="L44" s="80"/>
      <c r="M44" s="16">
        <f>COUNTIF(SEGUIMIENTO!R$23:R$122,"SI")</f>
        <v>0</v>
      </c>
      <c r="N44" s="22"/>
      <c r="O44" s="182">
        <f>+AQ16</f>
        <v>0</v>
      </c>
      <c r="P44" s="55">
        <f>+AQ17</f>
        <v>0</v>
      </c>
      <c r="Q44" s="166">
        <f>+AQ18</f>
        <v>0</v>
      </c>
      <c r="R44" s="55">
        <f>+AQ19</f>
        <v>0</v>
      </c>
      <c r="S44" s="161">
        <f>+AQ20</f>
        <v>0</v>
      </c>
      <c r="T44" s="16">
        <f>+AQ21</f>
        <v>0</v>
      </c>
      <c r="U44" s="22"/>
      <c r="V44" s="22"/>
      <c r="W44" s="182">
        <f>+AQ24</f>
        <v>0</v>
      </c>
      <c r="X44" s="55">
        <f>+AQ25</f>
        <v>0</v>
      </c>
      <c r="Y44" s="166">
        <f>+AQ26</f>
        <v>0</v>
      </c>
      <c r="Z44" s="55">
        <f>+AQ27</f>
        <v>0</v>
      </c>
      <c r="AA44" s="161">
        <f>+AQ28</f>
        <v>0</v>
      </c>
      <c r="AB44" s="55">
        <f>+AQ29</f>
        <v>0</v>
      </c>
      <c r="AC44" s="198">
        <f>+AQ30</f>
        <v>0</v>
      </c>
      <c r="AD44" s="22"/>
      <c r="AE44" s="22"/>
      <c r="AF44" s="182">
        <f>+AQ33</f>
        <v>0</v>
      </c>
      <c r="AG44" s="16">
        <f>+AQ34</f>
        <v>0</v>
      </c>
      <c r="AH44" s="22"/>
      <c r="AI44" s="22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22"/>
      <c r="AX44" s="22"/>
      <c r="AY44" s="17">
        <f>COUNTIFS(SEGUIMIENTO!$R$23:$R$122,"SI",SEGUIMIENTO!$X$23:$X$122,"SI")</f>
        <v>0</v>
      </c>
      <c r="AZ44" s="22"/>
      <c r="BA44" s="15">
        <f>COUNTIFS(SEGUIMIENTO!$R$23:$R$122,"SI",SEGUIMIENTO!$Y$23:$Y$122,"I-MB")</f>
        <v>0</v>
      </c>
      <c r="BB44" s="55">
        <f>COUNTIFS(SEGUIMIENTO!$R$23:$R$122,"SI",SEGUIMIENTO!$Y$23:$Y$122,"I-U")</f>
        <v>0</v>
      </c>
      <c r="BC44" s="55">
        <f>COUNTIFS(SEGUIMIENTO!$R$23:$R$122,"SI",SEGUIMIENTO!$Y$23:$Y$122,"I-I")</f>
        <v>0</v>
      </c>
      <c r="BD44" s="55">
        <f>COUNTIFS(SEGUIMIENTO!$R$23:$R$122,"SI",SEGUIMIENTO!$Y$23:$Y$122,"I-K")</f>
        <v>0</v>
      </c>
      <c r="BE44" s="55">
        <f>COUNTIFS(SEGUIMIENTO!$R$23:$R$122,"SI",SEGUIMIENTO!$Y$23:$Y$122,"I-FD")</f>
        <v>0</v>
      </c>
      <c r="BF44" s="55">
        <f>COUNTIFS(SEGUIMIENTO!$R$23:$R$122,"SI",SEGUIMIENTO!$Y$23:$Y$122,"NARP")</f>
        <v>0</v>
      </c>
      <c r="BG44" s="55">
        <f>COUNTIFS(SEGUIMIENTO!$R$23:$R$122,"SI",SEGUIMIENTO!$Y$23:$Y$122,"R")</f>
        <v>0</v>
      </c>
      <c r="BH44" s="16">
        <f>COUNTIFS(SEGUIMIENTO!$R$23:$R$122,"SI",SEGUIMIENTO!$Y$23:$Y$122,"N/A")</f>
        <v>0</v>
      </c>
      <c r="BI44" s="22"/>
      <c r="BJ44" s="22"/>
      <c r="BK44" s="15">
        <f>COUNTIFS(SEGUIMIENTO!$R$23:$R$122,"SI",SEGUIMIENTO!$AA$23:$AA$122,"JAC")</f>
        <v>0</v>
      </c>
      <c r="BL44" s="55">
        <f>COUNTIFS(SEGUIMIENTO!$R$23:$R$122,"SI",SEGUIMIENTO!$AA$23:$AA$122,"JAL")</f>
        <v>0</v>
      </c>
      <c r="BM44" s="55">
        <f>COUNTIFS(SEGUIMIENTO!$R$23:$R$122,"SI",SEGUIMIENTO!$AA$23:$AA$122,"AMB")</f>
        <v>0</v>
      </c>
      <c r="BN44" s="55">
        <f>COUNTIFS(SEGUIMIENTO!$R$23:$R$122,"SI",SEGUIMIENTO!$AA$23:$AA$122,"DDHH")</f>
        <v>0</v>
      </c>
      <c r="BO44" s="55">
        <f>COUNTIFS(SEGUIMIENTO!$R$23:$R$122,"SI",SEGUIMIENTO!$AA$23:$AA$122,"SIND")</f>
        <v>0</v>
      </c>
      <c r="BP44" s="55">
        <f>COUNTIFS(SEGUIMIENTO!$R$23:$R$122,"SI",SEGUIMIENTO!$AA$23:$AA$122,"REL")</f>
        <v>0</v>
      </c>
      <c r="BQ44" s="55">
        <f>COUNTIFS(SEGUIMIENTO!$R$23:$R$122,"SI",SEGUIMIENTO!$AA$23:$AA$122,"OTR")</f>
        <v>0</v>
      </c>
      <c r="BR44" s="16">
        <f>COUNTIFS(SEGUIMIENTO!$R$23:$R$122,"SI",SEGUIMIENTO!$AA$23:$AA$122,"N/A")</f>
        <v>0</v>
      </c>
      <c r="BS44" s="22"/>
      <c r="BT44" s="22"/>
      <c r="BU44" s="15">
        <f>COUNTIFS(SEGUIMIENTO!$R$23:$R$122,"SI",SEGUIMIENTO!$AB$23:$AB$122,"RUR")</f>
        <v>0</v>
      </c>
      <c r="BV44" s="16">
        <f>COUNTIFS(SEGUIMIENTO!$R$23:$R$122,"SI",SEGUIMIENTO!$AB$23:$AB$122,"URB")</f>
        <v>0</v>
      </c>
      <c r="BW44" s="22"/>
      <c r="BX44" s="22"/>
      <c r="BY44" s="15">
        <f>COUNTIFS(SEGUIMIENTO!$R$23:$R$122,"SI",SEGUIMIENTO!AD$23:AD$122,"1")</f>
        <v>0</v>
      </c>
      <c r="BZ44" s="55">
        <f>COUNTIFS(SEGUIMIENTO!$R$23:$R$122,"SI",SEGUIMIENTO!AD$23:AD$122,"2")</f>
        <v>0</v>
      </c>
      <c r="CA44" s="55">
        <f>COUNTIFS(SEGUIMIENTO!$R$23:$R$122,"SI",SEGUIMIENTO!AD$23:AD$122,"3")</f>
        <v>0</v>
      </c>
      <c r="CB44" s="55">
        <f>COUNTIFS(SEGUIMIENTO!$R$23:$R$122,"SI",SEGUIMIENTO!AD$23:AD$122,"4")</f>
        <v>0</v>
      </c>
      <c r="CC44" s="55">
        <f>COUNTIFS(SEGUIMIENTO!$R$23:$R$122,"SI",SEGUIMIENTO!AD$23:AD$122,"5")</f>
        <v>0</v>
      </c>
      <c r="CD44" s="55">
        <f>COUNTIFS(SEGUIMIENTO!$R$23:$R$122,"SI",SEGUIMIENTO!AD$23:AD$122,"6")</f>
        <v>0</v>
      </c>
      <c r="CE44" s="55">
        <f>COUNTIFS(SEGUIMIENTO!$R$23:$R$122,"SI",SEGUIMIENTO!AD$23:AD$122,"7")</f>
        <v>0</v>
      </c>
      <c r="CF44" s="55">
        <f>COUNTIFS(SEGUIMIENTO!$R$23:$R$122,"SI",SEGUIMIENTO!AD$23:AD$122,"8")</f>
        <v>0</v>
      </c>
      <c r="CG44" s="16">
        <f>COUNTIFS(SEGUIMIENTO!$R$23:$R$122,"SI",SEGUIMIENTO!AD$23:AD$122,"9")</f>
        <v>0</v>
      </c>
      <c r="CH44" s="22"/>
      <c r="CI44" s="22"/>
      <c r="CJ44" s="15">
        <f>COUNTIFS(SEGUIMIENTO!$R$23:$R$122,"SI",SEGUIMIENTO!$Z$23:$Z$122,"1")</f>
        <v>0</v>
      </c>
      <c r="CK44" s="55">
        <f>COUNTIFS(SEGUIMIENTO!$R$23:$R$122,"SI",SEGUIMIENTO!$Z$23:$Z$122,"2")</f>
        <v>0</v>
      </c>
      <c r="CL44" s="55">
        <f>COUNTIFS(SEGUIMIENTO!$R$23:$R$122,"SI",SEGUIMIENTO!$Z$23:$Z$122,"3")</f>
        <v>0</v>
      </c>
      <c r="CM44" s="55">
        <f>COUNTIFS(SEGUIMIENTO!$R$23:$R$122,"SI",SEGUIMIENTO!$Z$23:$Z$122,"4")</f>
        <v>0</v>
      </c>
      <c r="CN44" s="55">
        <f>COUNTIFS(SEGUIMIENTO!$R$23:$R$122,"SI",SEGUIMIENTO!$Z$23:$Z$122,"5")</f>
        <v>0</v>
      </c>
      <c r="CO44" s="55">
        <f>COUNTIFS(SEGUIMIENTO!$R$23:$R$122,"SI",SEGUIMIENTO!$Z$23:$Z$122,"6")</f>
        <v>0</v>
      </c>
      <c r="CP44" s="55">
        <f>COUNTIFS(SEGUIMIENTO!$R$23:$R$122,"SI",SEGUIMIENTO!$Z$23:$Z$122,"7")</f>
        <v>0</v>
      </c>
      <c r="CQ44" s="55">
        <f>COUNTIFS(SEGUIMIENTO!$R$23:$R$122,"SI",SEGUIMIENTO!$Z$23:$Z$122,"8")</f>
        <v>0</v>
      </c>
      <c r="CR44" s="55">
        <f>COUNTIFS(SEGUIMIENTO!$R$23:$R$122,"SI",SEGUIMIENTO!$Z$23:$Z$122,"9")</f>
        <v>0</v>
      </c>
      <c r="CS44" s="55">
        <f>COUNTIFS(SEGUIMIENTO!$R$23:$R$122,"SI",SEGUIMIENTO!$Z$23:$Z$122,"10")</f>
        <v>0</v>
      </c>
      <c r="CT44" s="55">
        <f>COUNTIFS(SEGUIMIENTO!$R$23:$R$122,"SI",SEGUIMIENTO!$Z$23:$Z$122,"11")</f>
        <v>0</v>
      </c>
      <c r="CU44" s="55">
        <f>COUNTIFS(SEGUIMIENTO!$R$23:$R$122,"SI",SEGUIMIENTO!$Z$23:$Z$122,"12")</f>
        <v>0</v>
      </c>
      <c r="CV44" s="55">
        <f>COUNTIFS(SEGUIMIENTO!$R$23:$R$122,"SI",SEGUIMIENTO!$Z$23:$Z$122,"13")</f>
        <v>0</v>
      </c>
      <c r="CW44" s="55">
        <f>COUNTIFS(SEGUIMIENTO!$R$23:$R$122,"SI",SEGUIMIENTO!$Z$23:$Z$122,"14")</f>
        <v>0</v>
      </c>
      <c r="CX44" s="55">
        <f>COUNTIFS(SEGUIMIENTO!$R$23:$R$122,"SI",SEGUIMIENTO!$Z$23:$Z$122,"15")</f>
        <v>0</v>
      </c>
      <c r="CY44" s="55">
        <f>COUNTIFS(SEGUIMIENTO!$R$23:$R$122,"SI",SEGUIMIENTO!$Z$23:$Z$122,"16")</f>
        <v>0</v>
      </c>
      <c r="CZ44" s="16">
        <f>COUNTIFS(SEGUIMIENTO!$R$23:$R$122,"SI",SEGUIMIENTO!$Z$23:$Z$122,"N/A")</f>
        <v>0</v>
      </c>
      <c r="DA44" s="533"/>
      <c r="DB44" s="5"/>
      <c r="DC44" s="5"/>
      <c r="DD44" s="5"/>
      <c r="DE44" s="5"/>
      <c r="DF44" s="5"/>
      <c r="DG44" s="5"/>
      <c r="DH44" s="5"/>
      <c r="DI44" s="5"/>
      <c r="DJ44" s="5"/>
      <c r="DK44" s="10"/>
      <c r="DL44" s="5"/>
      <c r="DM44" s="535"/>
      <c r="DN44" s="5"/>
      <c r="DO44" s="5"/>
      <c r="DP44" s="5"/>
      <c r="DQ44" s="5"/>
      <c r="DR44" s="5"/>
      <c r="DS44" s="5"/>
      <c r="EJ44" s="285"/>
    </row>
    <row r="45" spans="2:140" s="11" customFormat="1" ht="12.45" customHeight="1" x14ac:dyDescent="0.2">
      <c r="B45" s="110"/>
      <c r="C45" s="310"/>
      <c r="D45" s="320" t="s">
        <v>66</v>
      </c>
      <c r="E45" s="323"/>
      <c r="F45" s="323"/>
      <c r="G45" s="323"/>
      <c r="H45" s="323"/>
      <c r="I45" s="323"/>
      <c r="J45" s="323"/>
      <c r="K45" s="323"/>
      <c r="L45" s="323"/>
      <c r="M45" s="199">
        <f>COUNTIF(SEGUIMIENTO!S$23:S$122,"SI")</f>
        <v>0</v>
      </c>
      <c r="N45" s="22"/>
      <c r="O45" s="182">
        <f>+AR16</f>
        <v>0</v>
      </c>
      <c r="P45" s="55">
        <f>+AR17</f>
        <v>0</v>
      </c>
      <c r="Q45" s="166">
        <f>+AR18</f>
        <v>0</v>
      </c>
      <c r="R45" s="55">
        <f>+AR19</f>
        <v>0</v>
      </c>
      <c r="S45" s="161">
        <f>+AR20</f>
        <v>0</v>
      </c>
      <c r="T45" s="16">
        <f>+AR21</f>
        <v>0</v>
      </c>
      <c r="U45" s="22"/>
      <c r="V45" s="22"/>
      <c r="W45" s="182">
        <f>+AR24</f>
        <v>0</v>
      </c>
      <c r="X45" s="55">
        <f>+AR25</f>
        <v>0</v>
      </c>
      <c r="Y45" s="166">
        <f>+AR26</f>
        <v>0</v>
      </c>
      <c r="Z45" s="55">
        <f>+AR27</f>
        <v>0</v>
      </c>
      <c r="AA45" s="161">
        <f>+AR28</f>
        <v>0</v>
      </c>
      <c r="AB45" s="55">
        <f>+AR29</f>
        <v>0</v>
      </c>
      <c r="AC45" s="198">
        <f>+AR30</f>
        <v>0</v>
      </c>
      <c r="AD45" s="22"/>
      <c r="AE45" s="22"/>
      <c r="AF45" s="182">
        <f>+AR33</f>
        <v>0</v>
      </c>
      <c r="AG45" s="16">
        <f>+AR34</f>
        <v>0</v>
      </c>
      <c r="AH45" s="22"/>
      <c r="AI45" s="22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22"/>
      <c r="AX45" s="22"/>
      <c r="AY45" s="203">
        <f>COUNTIFS(SEGUIMIENTO!$S$23:$S$122,"SI",SEGUIMIENTO!$X$23:$X$122,"SI")</f>
        <v>0</v>
      </c>
      <c r="AZ45" s="22"/>
      <c r="BA45" s="208">
        <f>COUNTIFS(SEGUIMIENTO!$S$23:$S$122,"SI",SEGUIMIENTO!$Y$23:$Y$122,"I-MB")</f>
        <v>0</v>
      </c>
      <c r="BB45" s="209">
        <f>COUNTIFS(SEGUIMIENTO!$S$23:$S$122,"SI",SEGUIMIENTO!$Y$23:$Y$122,"I-U")</f>
        <v>0</v>
      </c>
      <c r="BC45" s="209">
        <f>COUNTIFS(SEGUIMIENTO!$S$23:$S$122,"SI",SEGUIMIENTO!$Y$23:$Y$122,"I-I")</f>
        <v>0</v>
      </c>
      <c r="BD45" s="209">
        <f>COUNTIFS(SEGUIMIENTO!$S$23:$S$122,"SI",SEGUIMIENTO!$Y$23:$Y$122,"I-K")</f>
        <v>0</v>
      </c>
      <c r="BE45" s="209">
        <f>COUNTIFS(SEGUIMIENTO!$S$23:$S$122,"SI",SEGUIMIENTO!$Y$23:$Y$122,"I-FD")</f>
        <v>0</v>
      </c>
      <c r="BF45" s="209">
        <f>COUNTIFS(SEGUIMIENTO!$S$23:$S$122,"SI",SEGUIMIENTO!$Y$23:$Y$122,"NARP")</f>
        <v>0</v>
      </c>
      <c r="BG45" s="209">
        <f>COUNTIFS(SEGUIMIENTO!$S$23:$S$122,"SI",SEGUIMIENTO!$Y$23:$Y$122,"R")</f>
        <v>0</v>
      </c>
      <c r="BH45" s="199">
        <f>COUNTIFS(SEGUIMIENTO!$S$23:$S$122,"SI",SEGUIMIENTO!$Y$23:$Y$122,"N/A")</f>
        <v>0</v>
      </c>
      <c r="BI45" s="22"/>
      <c r="BJ45" s="22"/>
      <c r="BK45" s="208">
        <f>COUNTIFS(SEGUIMIENTO!$S$23:$S$122,"SI",SEGUIMIENTO!$AA$23:$AA$122,"JAC")</f>
        <v>0</v>
      </c>
      <c r="BL45" s="209">
        <f>COUNTIFS(SEGUIMIENTO!$S$23:$S$122,"SI",SEGUIMIENTO!$AA$23:$AA$122,"JAL")</f>
        <v>0</v>
      </c>
      <c r="BM45" s="209">
        <f>COUNTIFS(SEGUIMIENTO!$S$23:$S$122,"SI",SEGUIMIENTO!$AA$23:$AA$122,"AMB")</f>
        <v>0</v>
      </c>
      <c r="BN45" s="209">
        <f>COUNTIFS(SEGUIMIENTO!$S$23:$S$122,"SI",SEGUIMIENTO!$AA$23:$AA$122,"DDHH")</f>
        <v>0</v>
      </c>
      <c r="BO45" s="209">
        <f>COUNTIFS(SEGUIMIENTO!$S$23:$S$122,"SI",SEGUIMIENTO!$AA$23:$AA$122,"SIND")</f>
        <v>0</v>
      </c>
      <c r="BP45" s="209">
        <f>COUNTIFS(SEGUIMIENTO!$S$23:$S$122,"SI",SEGUIMIENTO!$AA$23:$AA$122,"REL")</f>
        <v>0</v>
      </c>
      <c r="BQ45" s="209">
        <f>COUNTIFS(SEGUIMIENTO!$S$23:$S$122,"SI",SEGUIMIENTO!$AA$23:$AA$122,"OTR")</f>
        <v>0</v>
      </c>
      <c r="BR45" s="199">
        <f>COUNTIFS(SEGUIMIENTO!$S$23:$S$122,"SI",SEGUIMIENTO!$AA$23:$AA$122,"N/A")</f>
        <v>0</v>
      </c>
      <c r="BS45" s="22"/>
      <c r="BT45" s="22"/>
      <c r="BU45" s="208">
        <f>COUNTIFS(SEGUIMIENTO!$S$23:$S$122,"SI",SEGUIMIENTO!$AB$23:$AB$122,"RUR")</f>
        <v>0</v>
      </c>
      <c r="BV45" s="199">
        <f>COUNTIFS(SEGUIMIENTO!$S$23:$S$122,"SI",SEGUIMIENTO!$AB$23:$AB$122,"URB")</f>
        <v>0</v>
      </c>
      <c r="BW45" s="22"/>
      <c r="BX45" s="22"/>
      <c r="BY45" s="208">
        <f>COUNTIFS(SEGUIMIENTO!$S$23:$S$122,"SI",SEGUIMIENTO!AD$23:AD$122,"1")</f>
        <v>0</v>
      </c>
      <c r="BZ45" s="209">
        <f>COUNTIFS(SEGUIMIENTO!$S$23:$S$122,"SI",SEGUIMIENTO!AD$23:AD$122,"2")</f>
        <v>0</v>
      </c>
      <c r="CA45" s="209">
        <f>COUNTIFS(SEGUIMIENTO!$S$23:$S$122,"SI",SEGUIMIENTO!AD$23:AD$122,"3")</f>
        <v>0</v>
      </c>
      <c r="CB45" s="209">
        <f>COUNTIFS(SEGUIMIENTO!$S$23:$S$122,"SI",SEGUIMIENTO!AD$23:AD$122,"4")</f>
        <v>0</v>
      </c>
      <c r="CC45" s="209">
        <f>COUNTIFS(SEGUIMIENTO!$S$23:$S$122,"SI",SEGUIMIENTO!AD$23:AD$122,"5")</f>
        <v>0</v>
      </c>
      <c r="CD45" s="209">
        <f>COUNTIFS(SEGUIMIENTO!$S$23:$S$122,"SI",SEGUIMIENTO!AD$23:AD$122,"6")</f>
        <v>0</v>
      </c>
      <c r="CE45" s="209">
        <f>COUNTIFS(SEGUIMIENTO!$S$23:$S$122,"SI",SEGUIMIENTO!AD$23:AD$122,"7")</f>
        <v>0</v>
      </c>
      <c r="CF45" s="209">
        <f>COUNTIFS(SEGUIMIENTO!$S$23:$S$122,"SI",SEGUIMIENTO!AD$23:AD$122,"8")</f>
        <v>0</v>
      </c>
      <c r="CG45" s="199">
        <f>COUNTIFS(SEGUIMIENTO!$S$23:$S$122,"SI",SEGUIMIENTO!AD$23:AD$122,"9")</f>
        <v>0</v>
      </c>
      <c r="CH45" s="22"/>
      <c r="CI45" s="22"/>
      <c r="CJ45" s="208">
        <f>COUNTIFS(SEGUIMIENTO!$S$23:$S$122,"SI",SEGUIMIENTO!$Z$23:$Z$122,"1")</f>
        <v>0</v>
      </c>
      <c r="CK45" s="209">
        <f>COUNTIFS(SEGUIMIENTO!$S$23:$S$122,"SI",SEGUIMIENTO!$Z$23:$Z$122,"2")</f>
        <v>0</v>
      </c>
      <c r="CL45" s="209">
        <f>COUNTIFS(SEGUIMIENTO!$S$23:$S$122,"SI",SEGUIMIENTO!$Z$23:$Z$122,"3")</f>
        <v>0</v>
      </c>
      <c r="CM45" s="209">
        <f>COUNTIFS(SEGUIMIENTO!$S$23:$S$122,"SI",SEGUIMIENTO!$Z$23:$Z$122,"4")</f>
        <v>0</v>
      </c>
      <c r="CN45" s="209">
        <f>COUNTIFS(SEGUIMIENTO!$S$23:$S$122,"SI",SEGUIMIENTO!$Z$23:$Z$122,"5")</f>
        <v>0</v>
      </c>
      <c r="CO45" s="209">
        <f>COUNTIFS(SEGUIMIENTO!$S$23:$S$122,"SI",SEGUIMIENTO!$Z$23:$Z$122,"6")</f>
        <v>0</v>
      </c>
      <c r="CP45" s="209">
        <f>COUNTIFS(SEGUIMIENTO!$S$23:$S$122,"SI",SEGUIMIENTO!$Z$23:$Z$122,"7")</f>
        <v>0</v>
      </c>
      <c r="CQ45" s="209">
        <f>COUNTIFS(SEGUIMIENTO!$S$23:$S$122,"SI",SEGUIMIENTO!$Z$23:$Z$122,"8")</f>
        <v>0</v>
      </c>
      <c r="CR45" s="209">
        <f>COUNTIFS(SEGUIMIENTO!$S$23:$S$122,"SI",SEGUIMIENTO!$Z$23:$Z$122,"9")</f>
        <v>0</v>
      </c>
      <c r="CS45" s="209">
        <f>COUNTIFS(SEGUIMIENTO!$S$23:$S$122,"SI",SEGUIMIENTO!$Z$23:$Z$122,"10")</f>
        <v>0</v>
      </c>
      <c r="CT45" s="209">
        <f>COUNTIFS(SEGUIMIENTO!$S$23:$S$122,"SI",SEGUIMIENTO!$Z$23:$Z$122,"11")</f>
        <v>0</v>
      </c>
      <c r="CU45" s="209">
        <f>COUNTIFS(SEGUIMIENTO!$S$23:$S$122,"SI",SEGUIMIENTO!$Z$23:$Z$122,"12")</f>
        <v>0</v>
      </c>
      <c r="CV45" s="209">
        <f>COUNTIFS(SEGUIMIENTO!$S$23:$S$122,"SI",SEGUIMIENTO!$Z$23:$Z$122,"13")</f>
        <v>0</v>
      </c>
      <c r="CW45" s="209">
        <f>COUNTIFS(SEGUIMIENTO!$S$23:$S$122,"SI",SEGUIMIENTO!$Z$23:$Z$122,"14")</f>
        <v>0</v>
      </c>
      <c r="CX45" s="209">
        <f>COUNTIFS(SEGUIMIENTO!$S$23:$S$122,"SI",SEGUIMIENTO!$Z$23:$Z$122,"15")</f>
        <v>0</v>
      </c>
      <c r="CY45" s="209">
        <f>COUNTIFS(SEGUIMIENTO!$S$23:$S$122,"SI",SEGUIMIENTO!$Z$23:$Z$122,"16")</f>
        <v>0</v>
      </c>
      <c r="CZ45" s="199">
        <f>COUNTIFS(SEGUIMIENTO!$S$23:$S$122,"SI",SEGUIMIENTO!$Z$23:$Z$122,"N/A")</f>
        <v>0</v>
      </c>
      <c r="DA45" s="533"/>
      <c r="DB45" s="5"/>
      <c r="DC45" s="5"/>
      <c r="DD45" s="5"/>
      <c r="DE45" s="5"/>
      <c r="DF45" s="5"/>
      <c r="DG45" s="5"/>
      <c r="DH45" s="5"/>
      <c r="DI45" s="5"/>
      <c r="DJ45" s="5"/>
      <c r="DK45" s="10"/>
      <c r="DL45" s="5"/>
      <c r="DM45" s="535"/>
      <c r="DN45" s="5"/>
      <c r="DO45" s="5"/>
      <c r="DP45" s="5"/>
      <c r="DQ45" s="5"/>
      <c r="DR45" s="5"/>
      <c r="DS45" s="5"/>
      <c r="EJ45" s="285"/>
    </row>
    <row r="46" spans="2:140" s="11" customFormat="1" ht="12.45" customHeight="1" x14ac:dyDescent="0.2">
      <c r="B46" s="110"/>
      <c r="C46" s="310"/>
      <c r="D46" s="85" t="s">
        <v>65</v>
      </c>
      <c r="E46" s="80"/>
      <c r="F46" s="80"/>
      <c r="G46" s="80"/>
      <c r="H46" s="80"/>
      <c r="I46" s="80"/>
      <c r="J46" s="80"/>
      <c r="K46" s="80"/>
      <c r="L46" s="80"/>
      <c r="M46" s="16">
        <f>COUNTIF(SEGUIMIENTO!T$23:T$122,"SI")</f>
        <v>0</v>
      </c>
      <c r="N46" s="22"/>
      <c r="O46" s="182">
        <f>+AS16</f>
        <v>0</v>
      </c>
      <c r="P46" s="55">
        <f>+AS17</f>
        <v>0</v>
      </c>
      <c r="Q46" s="166">
        <f>+AS18</f>
        <v>0</v>
      </c>
      <c r="R46" s="55">
        <f>+AS19</f>
        <v>0</v>
      </c>
      <c r="S46" s="161">
        <f>+AS20</f>
        <v>0</v>
      </c>
      <c r="T46" s="16">
        <f>+AS21</f>
        <v>0</v>
      </c>
      <c r="U46" s="22"/>
      <c r="V46" s="22"/>
      <c r="W46" s="182">
        <f>+AS24</f>
        <v>0</v>
      </c>
      <c r="X46" s="55">
        <f>+AS25</f>
        <v>0</v>
      </c>
      <c r="Y46" s="166">
        <f>+AS26</f>
        <v>0</v>
      </c>
      <c r="Z46" s="55">
        <f>+AS27</f>
        <v>0</v>
      </c>
      <c r="AA46" s="161">
        <f>+AS28</f>
        <v>0</v>
      </c>
      <c r="AB46" s="55">
        <f>+AS29</f>
        <v>0</v>
      </c>
      <c r="AC46" s="198">
        <f>+AS30</f>
        <v>0</v>
      </c>
      <c r="AD46" s="22"/>
      <c r="AE46" s="22"/>
      <c r="AF46" s="182">
        <f>+AS33</f>
        <v>0</v>
      </c>
      <c r="AG46" s="16">
        <f>+AS34</f>
        <v>0</v>
      </c>
      <c r="AH46" s="22"/>
      <c r="AI46" s="22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22"/>
      <c r="AX46" s="22"/>
      <c r="AY46" s="17">
        <f>COUNTIFS(SEGUIMIENTO!$T$23:$T$122,"SI",SEGUIMIENTO!$X$23:$X$122,"SI")</f>
        <v>0</v>
      </c>
      <c r="AZ46" s="22"/>
      <c r="BA46" s="15">
        <f>COUNTIFS(SEGUIMIENTO!$T$23:$T$122,"SI",SEGUIMIENTO!$Y$23:$Y$122,"I-MB")</f>
        <v>0</v>
      </c>
      <c r="BB46" s="55">
        <f>COUNTIFS(SEGUIMIENTO!$T$23:$T$122,"SI",SEGUIMIENTO!$Y$23:$Y$122,"I-U")</f>
        <v>0</v>
      </c>
      <c r="BC46" s="55">
        <f>COUNTIFS(SEGUIMIENTO!$T$23:$T$122,"SI",SEGUIMIENTO!$Y$23:$Y$122,"I-I")</f>
        <v>0</v>
      </c>
      <c r="BD46" s="55">
        <f>COUNTIFS(SEGUIMIENTO!$T$23:$T$122,"SI",SEGUIMIENTO!$Y$23:$Y$122,"I-K")</f>
        <v>0</v>
      </c>
      <c r="BE46" s="55">
        <f>COUNTIFS(SEGUIMIENTO!$T$23:$T$122,"SI",SEGUIMIENTO!$Y$23:$Y$122,"I-FD")</f>
        <v>0</v>
      </c>
      <c r="BF46" s="55">
        <f>COUNTIFS(SEGUIMIENTO!$T$23:$T$122,"SI",SEGUIMIENTO!$Y$23:$Y$122,"NARP")</f>
        <v>0</v>
      </c>
      <c r="BG46" s="55">
        <f>COUNTIFS(SEGUIMIENTO!$T$23:$T$122,"SI",SEGUIMIENTO!$Y$23:$Y$122,"R")</f>
        <v>0</v>
      </c>
      <c r="BH46" s="16">
        <f>COUNTIFS(SEGUIMIENTO!$T$23:$T$122,"SI",SEGUIMIENTO!$Y$23:$Y$122,"N/A")</f>
        <v>0</v>
      </c>
      <c r="BI46" s="22"/>
      <c r="BJ46" s="22"/>
      <c r="BK46" s="15">
        <f>COUNTIFS(SEGUIMIENTO!$T$23:$T$122,"SI",SEGUIMIENTO!$AA$23:$AA$122,"JAC")</f>
        <v>0</v>
      </c>
      <c r="BL46" s="55">
        <f>COUNTIFS(SEGUIMIENTO!$T$23:$T$122,"SI",SEGUIMIENTO!$AA$23:$AA$122,"JAL")</f>
        <v>0</v>
      </c>
      <c r="BM46" s="55">
        <f>COUNTIFS(SEGUIMIENTO!$T$23:$T$122,"SI",SEGUIMIENTO!$AA$23:$AA$122,"AMB")</f>
        <v>0</v>
      </c>
      <c r="BN46" s="55">
        <f>COUNTIFS(SEGUIMIENTO!$T$23:$T$122,"SI",SEGUIMIENTO!$AA$23:$AA$122,"DDHH")</f>
        <v>0</v>
      </c>
      <c r="BO46" s="55">
        <f>COUNTIFS(SEGUIMIENTO!$T$23:$T$122,"SI",SEGUIMIENTO!$AA$23:$AA$122,"SIND")</f>
        <v>0</v>
      </c>
      <c r="BP46" s="55">
        <f>COUNTIFS(SEGUIMIENTO!$T$23:$T$122,"SI",SEGUIMIENTO!$AA$23:$AA$122,"REL")</f>
        <v>0</v>
      </c>
      <c r="BQ46" s="55">
        <f>COUNTIFS(SEGUIMIENTO!$T$23:$T$122,"SI",SEGUIMIENTO!$AA$23:$AA$122,"OTR")</f>
        <v>0</v>
      </c>
      <c r="BR46" s="16">
        <f>COUNTIFS(SEGUIMIENTO!$T$23:$T$122,"SI",SEGUIMIENTO!$AA$23:$AA$122,"N/A")</f>
        <v>0</v>
      </c>
      <c r="BS46" s="22"/>
      <c r="BT46" s="22"/>
      <c r="BU46" s="15">
        <f>COUNTIFS(SEGUIMIENTO!$T$23:$T$122,"SI",SEGUIMIENTO!$AB$23:$AB$122,"RUR")</f>
        <v>0</v>
      </c>
      <c r="BV46" s="16">
        <f>COUNTIFS(SEGUIMIENTO!$T$23:$T$122,"SI",SEGUIMIENTO!$AB$23:$AB$122,"URB")</f>
        <v>0</v>
      </c>
      <c r="BW46" s="22"/>
      <c r="BX46" s="22"/>
      <c r="BY46" s="15">
        <f>COUNTIFS(SEGUIMIENTO!$T$23:$T$122,"SI",SEGUIMIENTO!AD$23:AD$122,"1")</f>
        <v>0</v>
      </c>
      <c r="BZ46" s="55">
        <f>COUNTIFS(SEGUIMIENTO!$T$23:$T$122,"SI",SEGUIMIENTO!AD$23:AD$122,"2")</f>
        <v>0</v>
      </c>
      <c r="CA46" s="55">
        <f>COUNTIFS(SEGUIMIENTO!$T$23:$T$122,"SI",SEGUIMIENTO!AD$23:AD$122,"3")</f>
        <v>0</v>
      </c>
      <c r="CB46" s="55">
        <f>COUNTIFS(SEGUIMIENTO!$T$23:$T$122,"SI",SEGUIMIENTO!AD$23:AD$122,"4")</f>
        <v>0</v>
      </c>
      <c r="CC46" s="55">
        <f>COUNTIFS(SEGUIMIENTO!$T$23:$T$122,"SI",SEGUIMIENTO!AD$23:AD$122,"5")</f>
        <v>0</v>
      </c>
      <c r="CD46" s="55">
        <f>COUNTIFS(SEGUIMIENTO!$T$23:$T$122,"SI",SEGUIMIENTO!AD$23:AD$122,"6")</f>
        <v>0</v>
      </c>
      <c r="CE46" s="55">
        <f>COUNTIFS(SEGUIMIENTO!$T$23:$T$122,"SI",SEGUIMIENTO!AD$23:AD$122,"7")</f>
        <v>0</v>
      </c>
      <c r="CF46" s="55">
        <f>COUNTIFS(SEGUIMIENTO!$T$23:$T$122,"SI",SEGUIMIENTO!AD$23:AD$122,"8")</f>
        <v>0</v>
      </c>
      <c r="CG46" s="16">
        <f>COUNTIFS(SEGUIMIENTO!$T$23:$T$122,"SI",SEGUIMIENTO!AD$23:AD$122,"9")</f>
        <v>0</v>
      </c>
      <c r="CH46" s="22"/>
      <c r="CI46" s="22"/>
      <c r="CJ46" s="15">
        <f>COUNTIFS(SEGUIMIENTO!$T$23:$T$122,"SI",SEGUIMIENTO!$Z$23:$Z$122,"1")</f>
        <v>0</v>
      </c>
      <c r="CK46" s="55">
        <f>COUNTIFS(SEGUIMIENTO!$T$23:$T$122,"SI",SEGUIMIENTO!$Z$23:$Z$122,"2")</f>
        <v>0</v>
      </c>
      <c r="CL46" s="55">
        <f>COUNTIFS(SEGUIMIENTO!$T$23:$T$122,"SI",SEGUIMIENTO!$Z$23:$Z$122,"3")</f>
        <v>0</v>
      </c>
      <c r="CM46" s="55">
        <f>COUNTIFS(SEGUIMIENTO!$T$23:$T$122,"SI",SEGUIMIENTO!$Z$23:$Z$122,"4")</f>
        <v>0</v>
      </c>
      <c r="CN46" s="55">
        <f>COUNTIFS(SEGUIMIENTO!$T$23:$T$122,"SI",SEGUIMIENTO!$Z$23:$Z$122,"5")</f>
        <v>0</v>
      </c>
      <c r="CO46" s="55">
        <f>COUNTIFS(SEGUIMIENTO!$T$23:$T$122,"SI",SEGUIMIENTO!$Z$23:$Z$122,"6")</f>
        <v>0</v>
      </c>
      <c r="CP46" s="55">
        <f>COUNTIFS(SEGUIMIENTO!$T$23:$T$122,"SI",SEGUIMIENTO!$Z$23:$Z$122,"7")</f>
        <v>0</v>
      </c>
      <c r="CQ46" s="55">
        <f>COUNTIFS(SEGUIMIENTO!$T$23:$T$122,"SI",SEGUIMIENTO!$Z$23:$Z$122,"8")</f>
        <v>0</v>
      </c>
      <c r="CR46" s="55">
        <f>COUNTIFS(SEGUIMIENTO!$T$23:$T$122,"SI",SEGUIMIENTO!$Z$23:$Z$122,"9")</f>
        <v>0</v>
      </c>
      <c r="CS46" s="55">
        <f>COUNTIFS(SEGUIMIENTO!$T$23:$T$122,"SI",SEGUIMIENTO!$Z$23:$Z$122,"10")</f>
        <v>0</v>
      </c>
      <c r="CT46" s="55">
        <f>COUNTIFS(SEGUIMIENTO!$T$23:$T$122,"SI",SEGUIMIENTO!$Z$23:$Z$122,"11")</f>
        <v>0</v>
      </c>
      <c r="CU46" s="55">
        <f>COUNTIFS(SEGUIMIENTO!$T$23:$T$122,"SI",SEGUIMIENTO!$Z$23:$Z$122,"12")</f>
        <v>0</v>
      </c>
      <c r="CV46" s="55">
        <f>COUNTIFS(SEGUIMIENTO!$T$23:$T$122,"SI",SEGUIMIENTO!$Z$23:$Z$122,"13")</f>
        <v>0</v>
      </c>
      <c r="CW46" s="55">
        <f>COUNTIFS(SEGUIMIENTO!$T$23:$T$122,"SI",SEGUIMIENTO!$Z$23:$Z$122,"14")</f>
        <v>0</v>
      </c>
      <c r="CX46" s="55">
        <f>COUNTIFS(SEGUIMIENTO!$T$23:$T$122,"SI",SEGUIMIENTO!$Z$23:$Z$122,"15")</f>
        <v>0</v>
      </c>
      <c r="CY46" s="55">
        <f>COUNTIFS(SEGUIMIENTO!$T$23:$T$122,"SI",SEGUIMIENTO!$Z$23:$Z$122,"16")</f>
        <v>0</v>
      </c>
      <c r="CZ46" s="16">
        <f>COUNTIFS(SEGUIMIENTO!$T$23:$T$122,"SI",SEGUIMIENTO!$Z$23:$Z$122,"N/A")</f>
        <v>0</v>
      </c>
      <c r="DA46" s="533"/>
      <c r="DB46" s="5"/>
      <c r="DC46" s="5"/>
      <c r="DD46" s="5"/>
      <c r="DE46" s="5"/>
      <c r="DF46" s="5"/>
      <c r="DG46" s="5"/>
      <c r="DH46" s="5"/>
      <c r="DI46" s="5"/>
      <c r="DJ46" s="5"/>
      <c r="DK46" s="10"/>
      <c r="DL46" s="5"/>
      <c r="DM46" s="535"/>
      <c r="DN46" s="5"/>
      <c r="DO46" s="5"/>
      <c r="DP46" s="5"/>
      <c r="DQ46" s="5"/>
      <c r="DR46" s="5"/>
      <c r="DS46" s="5"/>
      <c r="EJ46" s="285"/>
    </row>
    <row r="47" spans="2:140" s="11" customFormat="1" ht="12.45" customHeight="1" x14ac:dyDescent="0.2">
      <c r="B47" s="110"/>
      <c r="C47" s="310"/>
      <c r="D47" s="321" t="s">
        <v>67</v>
      </c>
      <c r="E47" s="324"/>
      <c r="F47" s="324"/>
      <c r="G47" s="324"/>
      <c r="H47" s="324"/>
      <c r="I47" s="324"/>
      <c r="J47" s="324"/>
      <c r="K47" s="324"/>
      <c r="L47" s="324"/>
      <c r="M47" s="200">
        <f>COUNTIF(SEGUIMIENTO!U$23:U$122,"SI")</f>
        <v>0</v>
      </c>
      <c r="N47" s="22"/>
      <c r="O47" s="182">
        <f>+AT16</f>
        <v>0</v>
      </c>
      <c r="P47" s="55">
        <f>+AT17</f>
        <v>0</v>
      </c>
      <c r="Q47" s="166">
        <f>+AT18</f>
        <v>0</v>
      </c>
      <c r="R47" s="55">
        <f>+AT19</f>
        <v>0</v>
      </c>
      <c r="S47" s="161">
        <f>+AT20</f>
        <v>0</v>
      </c>
      <c r="T47" s="16">
        <f>+AT21</f>
        <v>0</v>
      </c>
      <c r="U47" s="22"/>
      <c r="V47" s="22"/>
      <c r="W47" s="182">
        <f>+AT24</f>
        <v>0</v>
      </c>
      <c r="X47" s="55">
        <f>+AT25</f>
        <v>0</v>
      </c>
      <c r="Y47" s="166">
        <f>+AT26</f>
        <v>0</v>
      </c>
      <c r="Z47" s="55">
        <f>+AT27</f>
        <v>0</v>
      </c>
      <c r="AA47" s="161">
        <f>+AT28</f>
        <v>0</v>
      </c>
      <c r="AB47" s="55">
        <f>+AT29</f>
        <v>0</v>
      </c>
      <c r="AC47" s="198">
        <f>+AT30</f>
        <v>0</v>
      </c>
      <c r="AD47" s="22"/>
      <c r="AE47" s="22"/>
      <c r="AF47" s="182">
        <f>+AT33</f>
        <v>0</v>
      </c>
      <c r="AG47" s="16">
        <f>+AT34</f>
        <v>0</v>
      </c>
      <c r="AH47" s="22"/>
      <c r="AI47" s="22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22"/>
      <c r="AX47" s="22"/>
      <c r="AY47" s="204">
        <f>COUNTIFS(SEGUIMIENTO!$U$23:$U$122,"SI",SEGUIMIENTO!$X$23:$X$122,"SI")</f>
        <v>0</v>
      </c>
      <c r="AZ47" s="22"/>
      <c r="BA47" s="210">
        <f>COUNTIFS(SEGUIMIENTO!$U$23:$U$122,"SI",SEGUIMIENTO!$Y$23:$Y$122,"I-MB")</f>
        <v>0</v>
      </c>
      <c r="BB47" s="211">
        <f>COUNTIFS(SEGUIMIENTO!$U$23:$U$122,"SI",SEGUIMIENTO!$Y$23:$Y$122,"I-U")</f>
        <v>0</v>
      </c>
      <c r="BC47" s="211">
        <f>COUNTIFS(SEGUIMIENTO!$U$23:$U$122,"SI",SEGUIMIENTO!$Y$23:$Y$122,"I-I")</f>
        <v>0</v>
      </c>
      <c r="BD47" s="211">
        <f>COUNTIFS(SEGUIMIENTO!$U$23:$U$122,"SI",SEGUIMIENTO!$Y$23:$Y$122,"I-K")</f>
        <v>0</v>
      </c>
      <c r="BE47" s="211">
        <f>COUNTIFS(SEGUIMIENTO!$U$23:$U$122,"SI",SEGUIMIENTO!$Y$23:$Y$122,"I-FD")</f>
        <v>0</v>
      </c>
      <c r="BF47" s="211">
        <f>COUNTIFS(SEGUIMIENTO!$U$23:$U$122,"SI",SEGUIMIENTO!$Y$23:$Y$122,"NARP")</f>
        <v>0</v>
      </c>
      <c r="BG47" s="211">
        <f>COUNTIFS(SEGUIMIENTO!$U$23:$U$122,"SI",SEGUIMIENTO!$Y$23:$Y$122,"R")</f>
        <v>0</v>
      </c>
      <c r="BH47" s="200">
        <f>COUNTIFS(SEGUIMIENTO!$U$23:$U$122,"SI",SEGUIMIENTO!$Y$23:$Y$122,"N/A")</f>
        <v>0</v>
      </c>
      <c r="BI47" s="22"/>
      <c r="BJ47" s="22"/>
      <c r="BK47" s="210">
        <f>COUNTIFS(SEGUIMIENTO!$U$23:$U$122,"SI",SEGUIMIENTO!$AA$23:$AA$122,"JAC")</f>
        <v>0</v>
      </c>
      <c r="BL47" s="211">
        <f>COUNTIFS(SEGUIMIENTO!$U$23:$U$122,"SI",SEGUIMIENTO!$AA$23:$AA$122,"JAL")</f>
        <v>0</v>
      </c>
      <c r="BM47" s="211">
        <f>COUNTIFS(SEGUIMIENTO!$U$23:$U$122,"SI",SEGUIMIENTO!$AA$23:$AA$122,"AMB")</f>
        <v>0</v>
      </c>
      <c r="BN47" s="211">
        <f>COUNTIFS(SEGUIMIENTO!$U$23:$U$122,"SI",SEGUIMIENTO!$AA$23:$AA$122,"DDHH")</f>
        <v>0</v>
      </c>
      <c r="BO47" s="211">
        <f>COUNTIFS(SEGUIMIENTO!$U$23:$U$122,"SI",SEGUIMIENTO!$AA$23:$AA$122,"SIND")</f>
        <v>0</v>
      </c>
      <c r="BP47" s="211">
        <f>COUNTIFS(SEGUIMIENTO!$U$23:$U$122,"SI",SEGUIMIENTO!$AA$23:$AA$122,"REL")</f>
        <v>0</v>
      </c>
      <c r="BQ47" s="211">
        <f>COUNTIFS(SEGUIMIENTO!$U$23:$U$122,"SI",SEGUIMIENTO!$AA$23:$AA$122,"OTR")</f>
        <v>0</v>
      </c>
      <c r="BR47" s="200">
        <f>COUNTIFS(SEGUIMIENTO!$U$23:$U$122,"SI",SEGUIMIENTO!$AA$23:$AA$122,"N/A")</f>
        <v>0</v>
      </c>
      <c r="BS47" s="22"/>
      <c r="BT47" s="22"/>
      <c r="BU47" s="210">
        <f>COUNTIFS(SEGUIMIENTO!$U$23:$U$122,"SI",SEGUIMIENTO!$AB$23:$AB$122,"RUR")</f>
        <v>0</v>
      </c>
      <c r="BV47" s="200">
        <f>COUNTIFS(SEGUIMIENTO!$U$23:$U$122,"SI",SEGUIMIENTO!$AB$23:$AB$122,"URB")</f>
        <v>0</v>
      </c>
      <c r="BW47" s="22"/>
      <c r="BX47" s="22"/>
      <c r="BY47" s="210">
        <f>COUNTIFS(SEGUIMIENTO!$U$23:$U$122,"SI",SEGUIMIENTO!AD$23:AD$122,"1")</f>
        <v>0</v>
      </c>
      <c r="BZ47" s="211">
        <f>COUNTIFS(SEGUIMIENTO!$U$23:$U$122,"SI",SEGUIMIENTO!AD$23:AD$122,"2")</f>
        <v>0</v>
      </c>
      <c r="CA47" s="211">
        <f>COUNTIFS(SEGUIMIENTO!$U$23:$U$122,"SI",SEGUIMIENTO!AD$23:AD$122,"3")</f>
        <v>0</v>
      </c>
      <c r="CB47" s="211">
        <f>COUNTIFS(SEGUIMIENTO!$U$23:$U$122,"SI",SEGUIMIENTO!AD$23:AD$122,"4")</f>
        <v>0</v>
      </c>
      <c r="CC47" s="211">
        <f>COUNTIFS(SEGUIMIENTO!$U$23:$U$122,"SI",SEGUIMIENTO!AD$23:AD$122,"5")</f>
        <v>0</v>
      </c>
      <c r="CD47" s="211">
        <f>COUNTIFS(SEGUIMIENTO!$U$23:$U$122,"SI",SEGUIMIENTO!AD$23:AD$122,"6")</f>
        <v>0</v>
      </c>
      <c r="CE47" s="211">
        <f>COUNTIFS(SEGUIMIENTO!$U$23:$U$122,"SI",SEGUIMIENTO!AD$23:AD$122,"7")</f>
        <v>0</v>
      </c>
      <c r="CF47" s="211">
        <f>COUNTIFS(SEGUIMIENTO!$U$23:$U$122,"SI",SEGUIMIENTO!AD$23:AD$122,"8")</f>
        <v>0</v>
      </c>
      <c r="CG47" s="200">
        <f>COUNTIFS(SEGUIMIENTO!$U$23:$U$122,"SI",SEGUIMIENTO!AD$23:AD$122,"9")</f>
        <v>0</v>
      </c>
      <c r="CH47" s="22"/>
      <c r="CI47" s="22"/>
      <c r="CJ47" s="210">
        <f>COUNTIFS(SEGUIMIENTO!$U$23:$U$122,"SI",SEGUIMIENTO!$Z$23:$Z$122,"1")</f>
        <v>0</v>
      </c>
      <c r="CK47" s="211">
        <f>COUNTIFS(SEGUIMIENTO!$U$23:$U$122,"SI",SEGUIMIENTO!$Z$23:$Z$122,"2")</f>
        <v>0</v>
      </c>
      <c r="CL47" s="211">
        <f>COUNTIFS(SEGUIMIENTO!$U$23:$U$122,"SI",SEGUIMIENTO!$Z$23:$Z$122,"3")</f>
        <v>0</v>
      </c>
      <c r="CM47" s="211">
        <f>COUNTIFS(SEGUIMIENTO!$U$23:$U$122,"SI",SEGUIMIENTO!$Z$23:$Z$122,"4")</f>
        <v>0</v>
      </c>
      <c r="CN47" s="211">
        <f>COUNTIFS(SEGUIMIENTO!$U$23:$U$122,"SI",SEGUIMIENTO!$Z$23:$Z$122,"5")</f>
        <v>0</v>
      </c>
      <c r="CO47" s="211">
        <f>COUNTIFS(SEGUIMIENTO!$U$23:$U$122,"SI",SEGUIMIENTO!$Z$23:$Z$122,"6")</f>
        <v>0</v>
      </c>
      <c r="CP47" s="211">
        <f>COUNTIFS(SEGUIMIENTO!$U$23:$U$122,"SI",SEGUIMIENTO!$Z$23:$Z$122,"7")</f>
        <v>0</v>
      </c>
      <c r="CQ47" s="211">
        <f>COUNTIFS(SEGUIMIENTO!$U$23:$U$122,"SI",SEGUIMIENTO!$Z$23:$Z$122,"8")</f>
        <v>0</v>
      </c>
      <c r="CR47" s="211">
        <f>COUNTIFS(SEGUIMIENTO!$U$23:$U$122,"SI",SEGUIMIENTO!$Z$23:$Z$122,"9")</f>
        <v>0</v>
      </c>
      <c r="CS47" s="211">
        <f>COUNTIFS(SEGUIMIENTO!$U$23:$U$122,"SI",SEGUIMIENTO!$Z$23:$Z$122,"10")</f>
        <v>0</v>
      </c>
      <c r="CT47" s="211">
        <f>COUNTIFS(SEGUIMIENTO!$U$23:$U$122,"SI",SEGUIMIENTO!$Z$23:$Z$122,"11")</f>
        <v>0</v>
      </c>
      <c r="CU47" s="211">
        <f>COUNTIFS(SEGUIMIENTO!$U$23:$U$122,"SI",SEGUIMIENTO!$Z$23:$Z$122,"12")</f>
        <v>0</v>
      </c>
      <c r="CV47" s="211">
        <f>COUNTIFS(SEGUIMIENTO!$U$23:$U$122,"SI",SEGUIMIENTO!$Z$23:$Z$122,"13")</f>
        <v>0</v>
      </c>
      <c r="CW47" s="211">
        <f>COUNTIFS(SEGUIMIENTO!$U$23:$U$122,"SI",SEGUIMIENTO!$Z$23:$Z$122,"14")</f>
        <v>0</v>
      </c>
      <c r="CX47" s="211">
        <f>COUNTIFS(SEGUIMIENTO!$U$23:$U$122,"SI",SEGUIMIENTO!$Z$23:$Z$122,"15")</f>
        <v>0</v>
      </c>
      <c r="CY47" s="211">
        <f>COUNTIFS(SEGUIMIENTO!$U$23:$U$122,"SI",SEGUIMIENTO!$Z$23:$Z$122,"16")</f>
        <v>0</v>
      </c>
      <c r="CZ47" s="200">
        <f>COUNTIFS(SEGUIMIENTO!$U$23:$U$122,"SI",SEGUIMIENTO!$Z$23:$Z$122,"N/A")</f>
        <v>0</v>
      </c>
      <c r="DA47" s="533"/>
      <c r="DB47" s="5"/>
      <c r="DC47" s="5"/>
      <c r="DD47" s="5"/>
      <c r="DE47" s="5"/>
      <c r="DF47" s="10"/>
      <c r="DG47" s="10"/>
      <c r="DH47" s="10"/>
      <c r="DI47" s="10"/>
      <c r="DJ47" s="10"/>
      <c r="DK47" s="10"/>
      <c r="DL47" s="5"/>
      <c r="DM47" s="535"/>
      <c r="DN47" s="5"/>
      <c r="DO47" s="5"/>
      <c r="DP47" s="5"/>
      <c r="DQ47" s="5"/>
      <c r="DR47" s="5"/>
      <c r="DS47" s="5"/>
      <c r="EJ47" s="285"/>
    </row>
    <row r="48" spans="2:140" s="11" customFormat="1" ht="12.45" customHeight="1" x14ac:dyDescent="0.2">
      <c r="B48" s="110"/>
      <c r="C48" s="310"/>
      <c r="D48" s="85" t="s">
        <v>68</v>
      </c>
      <c r="E48" s="80"/>
      <c r="F48" s="80"/>
      <c r="G48" s="80"/>
      <c r="H48" s="80"/>
      <c r="I48" s="80"/>
      <c r="J48" s="80"/>
      <c r="K48" s="80"/>
      <c r="L48" s="80"/>
      <c r="M48" s="16">
        <f>COUNTIF(SEGUIMIENTO!V$23:V$122,"SI")</f>
        <v>0</v>
      </c>
      <c r="N48" s="22"/>
      <c r="O48" s="182">
        <f>+AU16</f>
        <v>0</v>
      </c>
      <c r="P48" s="55">
        <f>+AU17</f>
        <v>0</v>
      </c>
      <c r="Q48" s="166">
        <f>+AU18</f>
        <v>0</v>
      </c>
      <c r="R48" s="55">
        <f>+AU19</f>
        <v>0</v>
      </c>
      <c r="S48" s="161">
        <f>+AU20</f>
        <v>0</v>
      </c>
      <c r="T48" s="16">
        <f>+AU21</f>
        <v>0</v>
      </c>
      <c r="U48" s="22"/>
      <c r="V48" s="22"/>
      <c r="W48" s="182">
        <f>+AU24</f>
        <v>0</v>
      </c>
      <c r="X48" s="55">
        <f>+AU25</f>
        <v>0</v>
      </c>
      <c r="Y48" s="166">
        <f>+AU26</f>
        <v>0</v>
      </c>
      <c r="Z48" s="55">
        <f>+AU27</f>
        <v>0</v>
      </c>
      <c r="AA48" s="161">
        <f>+AU28</f>
        <v>0</v>
      </c>
      <c r="AB48" s="55">
        <f>+AU29</f>
        <v>0</v>
      </c>
      <c r="AC48" s="198">
        <f>+AU30</f>
        <v>0</v>
      </c>
      <c r="AD48" s="22"/>
      <c r="AE48" s="22"/>
      <c r="AF48" s="182">
        <f>+AU33</f>
        <v>0</v>
      </c>
      <c r="AG48" s="16">
        <f>+AU34</f>
        <v>0</v>
      </c>
      <c r="AH48" s="22"/>
      <c r="AI48" s="22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22"/>
      <c r="AX48" s="22"/>
      <c r="AY48" s="17">
        <f>COUNTIFS(SEGUIMIENTO!$V$23:$V$122,"SI",SEGUIMIENTO!$X$23:$X$122,"SI")</f>
        <v>0</v>
      </c>
      <c r="AZ48" s="22"/>
      <c r="BA48" s="15">
        <f>COUNTIFS(SEGUIMIENTO!$V$23:$V$122,"SI",SEGUIMIENTO!$Y$23:$Y$122,"I-MB")</f>
        <v>0</v>
      </c>
      <c r="BB48" s="55">
        <f>COUNTIFS(SEGUIMIENTO!$V$23:$V$122,"SI",SEGUIMIENTO!$Y$23:$Y$122,"I-U")</f>
        <v>0</v>
      </c>
      <c r="BC48" s="55">
        <f>COUNTIFS(SEGUIMIENTO!$V$23:$V$122,"SI",SEGUIMIENTO!$Y$23:$Y$122,"I-I")</f>
        <v>0</v>
      </c>
      <c r="BD48" s="55">
        <f>COUNTIFS(SEGUIMIENTO!$V$23:$V$122,"SI",SEGUIMIENTO!$Y$23:$Y$122,"I-K")</f>
        <v>0</v>
      </c>
      <c r="BE48" s="55">
        <f>COUNTIFS(SEGUIMIENTO!$V$23:$V$122,"SI",SEGUIMIENTO!$Y$23:$Y$122,"I-FD")</f>
        <v>0</v>
      </c>
      <c r="BF48" s="55">
        <f>COUNTIFS(SEGUIMIENTO!$V$23:$V$122,"SI",SEGUIMIENTO!$Y$23:$Y$122,"NARP")</f>
        <v>0</v>
      </c>
      <c r="BG48" s="55">
        <f>COUNTIFS(SEGUIMIENTO!$V$23:$V$122,"SI",SEGUIMIENTO!$Y$23:$Y$122,"R")</f>
        <v>0</v>
      </c>
      <c r="BH48" s="16">
        <f>COUNTIFS(SEGUIMIENTO!$V$23:$V$122,"SI",SEGUIMIENTO!$Y$23:$Y$122,"N/A")</f>
        <v>0</v>
      </c>
      <c r="BI48" s="22"/>
      <c r="BJ48" s="22"/>
      <c r="BK48" s="15">
        <f>COUNTIFS(SEGUIMIENTO!$V$23:$V$122,"SI",SEGUIMIENTO!$AA$23:$AA$122,"JAC")</f>
        <v>0</v>
      </c>
      <c r="BL48" s="55">
        <f>COUNTIFS(SEGUIMIENTO!$V$23:$V$122,"SI",SEGUIMIENTO!$AA$23:$AA$122,"JAL")</f>
        <v>0</v>
      </c>
      <c r="BM48" s="55">
        <f>COUNTIFS(SEGUIMIENTO!$V$23:$V$122,"SI",SEGUIMIENTO!$AA$23:$AA$122,"AMB")</f>
        <v>0</v>
      </c>
      <c r="BN48" s="55">
        <f>COUNTIFS(SEGUIMIENTO!$V$23:$V$122,"SI",SEGUIMIENTO!$AA$23:$AA$122,"DDHH")</f>
        <v>0</v>
      </c>
      <c r="BO48" s="55">
        <f>COUNTIFS(SEGUIMIENTO!$V$23:$V$122,"SI",SEGUIMIENTO!$AA$23:$AA$122,"SIND")</f>
        <v>0</v>
      </c>
      <c r="BP48" s="55">
        <f>COUNTIFS(SEGUIMIENTO!$V$23:$V$122,"SI",SEGUIMIENTO!$AA$23:$AA$122,"REL")</f>
        <v>0</v>
      </c>
      <c r="BQ48" s="55">
        <f>COUNTIFS(SEGUIMIENTO!$V$23:$V$122,"SI",SEGUIMIENTO!$AA$23:$AA$122,"OTR")</f>
        <v>0</v>
      </c>
      <c r="BR48" s="16">
        <f>COUNTIFS(SEGUIMIENTO!$V$23:$V$122,"SI",SEGUIMIENTO!$AA$23:$AA$122,"N/A")</f>
        <v>0</v>
      </c>
      <c r="BS48" s="22"/>
      <c r="BT48" s="22"/>
      <c r="BU48" s="15">
        <f>COUNTIFS(SEGUIMIENTO!$V$23:$V$122,"SI",SEGUIMIENTO!$AB$23:$AB$122,"RUR")</f>
        <v>0</v>
      </c>
      <c r="BV48" s="16">
        <f>COUNTIFS(SEGUIMIENTO!$V$23:$V$122,"SI",SEGUIMIENTO!$AB$23:$AB$122,"URB")</f>
        <v>0</v>
      </c>
      <c r="BW48" s="22"/>
      <c r="BX48" s="22"/>
      <c r="BY48" s="15">
        <f>COUNTIFS(SEGUIMIENTO!$V$23:$V$122,"SI",SEGUIMIENTO!AD$23:AD$122,"1")</f>
        <v>0</v>
      </c>
      <c r="BZ48" s="55">
        <f>COUNTIFS(SEGUIMIENTO!$V$23:$V$122,"SI",SEGUIMIENTO!AD$23:AD$122,"2")</f>
        <v>0</v>
      </c>
      <c r="CA48" s="55">
        <f>COUNTIFS(SEGUIMIENTO!$V$23:$V$122,"SI",SEGUIMIENTO!AD$23:AD$122,"3")</f>
        <v>0</v>
      </c>
      <c r="CB48" s="55">
        <f>COUNTIFS(SEGUIMIENTO!$V$23:$V$122,"SI",SEGUIMIENTO!AD$23:AD$122,"4")</f>
        <v>0</v>
      </c>
      <c r="CC48" s="55">
        <f>COUNTIFS(SEGUIMIENTO!$V$23:$V$122,"SI",SEGUIMIENTO!AD$23:AD$122,"5")</f>
        <v>0</v>
      </c>
      <c r="CD48" s="55">
        <f>COUNTIFS(SEGUIMIENTO!$V$23:$V$122,"SI",SEGUIMIENTO!AD$23:AD$122,"6")</f>
        <v>0</v>
      </c>
      <c r="CE48" s="55">
        <f>COUNTIFS(SEGUIMIENTO!$V$23:$V$122,"SI",SEGUIMIENTO!AD$23:AD$122,"7")</f>
        <v>0</v>
      </c>
      <c r="CF48" s="55">
        <f>COUNTIFS(SEGUIMIENTO!$V$23:$V$122,"SI",SEGUIMIENTO!AD$23:AD$122,"8")</f>
        <v>0</v>
      </c>
      <c r="CG48" s="16">
        <f>COUNTIFS(SEGUIMIENTO!$V$23:$V$122,"SI",SEGUIMIENTO!AD$23:AD$122,"9")</f>
        <v>0</v>
      </c>
      <c r="CH48" s="22"/>
      <c r="CI48" s="22"/>
      <c r="CJ48" s="15">
        <f>COUNTIFS(SEGUIMIENTO!$V$23:$V$122,"SI",SEGUIMIENTO!$Z$23:$Z$122,"1")</f>
        <v>0</v>
      </c>
      <c r="CK48" s="55">
        <f>COUNTIFS(SEGUIMIENTO!$V$23:$V$122,"SI",SEGUIMIENTO!$Z$23:$Z$122,"2")</f>
        <v>0</v>
      </c>
      <c r="CL48" s="55">
        <f>COUNTIFS(SEGUIMIENTO!$V$23:$V$122,"SI",SEGUIMIENTO!$Z$23:$Z$122,"3")</f>
        <v>0</v>
      </c>
      <c r="CM48" s="55">
        <f>COUNTIFS(SEGUIMIENTO!$V$23:$V$122,"SI",SEGUIMIENTO!$Z$23:$Z$122,"4")</f>
        <v>0</v>
      </c>
      <c r="CN48" s="55">
        <f>COUNTIFS(SEGUIMIENTO!$V$23:$V$122,"SI",SEGUIMIENTO!$Z$23:$Z$122,"5")</f>
        <v>0</v>
      </c>
      <c r="CO48" s="55">
        <f>COUNTIFS(SEGUIMIENTO!$V$23:$V$122,"SI",SEGUIMIENTO!$Z$23:$Z$122,"6")</f>
        <v>0</v>
      </c>
      <c r="CP48" s="55">
        <f>COUNTIFS(SEGUIMIENTO!$V$23:$V$122,"SI",SEGUIMIENTO!$Z$23:$Z$122,"7")</f>
        <v>0</v>
      </c>
      <c r="CQ48" s="55">
        <f>COUNTIFS(SEGUIMIENTO!$V$23:$V$122,"SI",SEGUIMIENTO!$Z$23:$Z$122,"8")</f>
        <v>0</v>
      </c>
      <c r="CR48" s="55">
        <f>COUNTIFS(SEGUIMIENTO!$V$23:$V$122,"SI",SEGUIMIENTO!$Z$23:$Z$122,"9")</f>
        <v>0</v>
      </c>
      <c r="CS48" s="55">
        <f>COUNTIFS(SEGUIMIENTO!$V$23:$V$122,"SI",SEGUIMIENTO!$Z$23:$Z$122,"10")</f>
        <v>0</v>
      </c>
      <c r="CT48" s="55">
        <f>COUNTIFS(SEGUIMIENTO!$V$23:$V$122,"SI",SEGUIMIENTO!$Z$23:$Z$122,"11")</f>
        <v>0</v>
      </c>
      <c r="CU48" s="55">
        <f>COUNTIFS(SEGUIMIENTO!$V$23:$V$122,"SI",SEGUIMIENTO!$Z$23:$Z$122,"12")</f>
        <v>0</v>
      </c>
      <c r="CV48" s="55">
        <f>COUNTIFS(SEGUIMIENTO!$V$23:$V$122,"SI",SEGUIMIENTO!$Z$23:$Z$122,"13")</f>
        <v>0</v>
      </c>
      <c r="CW48" s="55">
        <f>COUNTIFS(SEGUIMIENTO!$V$23:$V$122,"SI",SEGUIMIENTO!$Z$23:$Z$122,"14")</f>
        <v>0</v>
      </c>
      <c r="CX48" s="55">
        <f>COUNTIFS(SEGUIMIENTO!$V$23:$V$122,"SI",SEGUIMIENTO!$Z$23:$Z$122,"15")</f>
        <v>0</v>
      </c>
      <c r="CY48" s="55">
        <f>COUNTIFS(SEGUIMIENTO!$V$23:$V$122,"SI",SEGUIMIENTO!$Z$23:$Z$122,"16")</f>
        <v>0</v>
      </c>
      <c r="CZ48" s="16">
        <f>COUNTIFS(SEGUIMIENTO!$V$23:$V$122,"SI",SEGUIMIENTO!$Z$23:$Z$122,"N/A")</f>
        <v>0</v>
      </c>
      <c r="DA48" s="533"/>
      <c r="DB48" s="5"/>
      <c r="DC48" s="5"/>
      <c r="DD48" s="5"/>
      <c r="DE48" s="5"/>
      <c r="DF48" s="10"/>
      <c r="DG48" s="10"/>
      <c r="DH48" s="10"/>
      <c r="DI48" s="10"/>
      <c r="DJ48" s="10"/>
      <c r="DK48" s="10"/>
      <c r="DL48" s="10"/>
      <c r="DM48" s="535"/>
      <c r="DN48" s="5"/>
      <c r="DO48" s="5"/>
      <c r="DP48" s="5"/>
      <c r="DQ48" s="5"/>
      <c r="DR48" s="5"/>
      <c r="DS48" s="5"/>
      <c r="EJ48" s="285"/>
    </row>
    <row r="49" spans="2:140 16310:16310" s="11" customFormat="1" ht="12.45" customHeight="1" thickBot="1" x14ac:dyDescent="0.25">
      <c r="B49" s="110"/>
      <c r="C49" s="310"/>
      <c r="D49" s="322" t="s">
        <v>227</v>
      </c>
      <c r="E49" s="349"/>
      <c r="F49" s="349"/>
      <c r="G49" s="349"/>
      <c r="H49" s="349"/>
      <c r="I49" s="349"/>
      <c r="J49" s="349"/>
      <c r="K49" s="349"/>
      <c r="L49" s="349"/>
      <c r="M49" s="214">
        <f>COUNTIF(SEGUIMIENTO!W$23:W$122,"SI")</f>
        <v>0</v>
      </c>
      <c r="N49" s="22"/>
      <c r="O49" s="183">
        <f>+AV16</f>
        <v>0</v>
      </c>
      <c r="P49" s="19">
        <f>+AV17</f>
        <v>0</v>
      </c>
      <c r="Q49" s="185">
        <f>+AV18</f>
        <v>0</v>
      </c>
      <c r="R49" s="19">
        <f>+AV19</f>
        <v>0</v>
      </c>
      <c r="S49" s="187">
        <f>+AV20</f>
        <v>0</v>
      </c>
      <c r="T49" s="20">
        <f>+AV21</f>
        <v>0</v>
      </c>
      <c r="U49" s="22"/>
      <c r="V49" s="22"/>
      <c r="W49" s="183">
        <f>+AV24</f>
        <v>0</v>
      </c>
      <c r="X49" s="19">
        <f>+AV25</f>
        <v>0</v>
      </c>
      <c r="Y49" s="185">
        <f>+AV26</f>
        <v>0</v>
      </c>
      <c r="Z49" s="19">
        <f>+AV27</f>
        <v>0</v>
      </c>
      <c r="AA49" s="187">
        <f>+AV28</f>
        <v>0</v>
      </c>
      <c r="AB49" s="19">
        <f>+AV29</f>
        <v>0</v>
      </c>
      <c r="AC49" s="188">
        <f>+AV30</f>
        <v>0</v>
      </c>
      <c r="AD49" s="22"/>
      <c r="AE49" s="22"/>
      <c r="AF49" s="183">
        <f>+AV33</f>
        <v>0</v>
      </c>
      <c r="AG49" s="20">
        <f>+AV34</f>
        <v>0</v>
      </c>
      <c r="AH49" s="22"/>
      <c r="AI49" s="22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22"/>
      <c r="AX49" s="22"/>
      <c r="AY49" s="205">
        <f>COUNTIFS(SEGUIMIENTO!$W$23:$W$122,"SI",SEGUIMIENTO!$X$23:$X$122,"SI")</f>
        <v>0</v>
      </c>
      <c r="AZ49" s="22"/>
      <c r="BA49" s="212">
        <f>COUNTIFS(SEGUIMIENTO!$W$23:$W$122,"SI",SEGUIMIENTO!$Y$23:$Y$122,"I-MB")</f>
        <v>0</v>
      </c>
      <c r="BB49" s="213">
        <f>COUNTIFS(SEGUIMIENTO!$W$23:$W$122,"SI",SEGUIMIENTO!$Y$23:$Y$122,"I-U")</f>
        <v>0</v>
      </c>
      <c r="BC49" s="213">
        <f>COUNTIFS(SEGUIMIENTO!$W$23:$W$122,"SI",SEGUIMIENTO!$Y$23:$Y$122,"I-I")</f>
        <v>0</v>
      </c>
      <c r="BD49" s="213">
        <f>COUNTIFS(SEGUIMIENTO!$W$23:$W$122,"SI",SEGUIMIENTO!$Y$23:$Y$122,"I-K")</f>
        <v>0</v>
      </c>
      <c r="BE49" s="213">
        <f>COUNTIFS(SEGUIMIENTO!$W$23:$W$122,"SI",SEGUIMIENTO!$Y$23:$Y$122,"I-FD")</f>
        <v>0</v>
      </c>
      <c r="BF49" s="213">
        <f>COUNTIFS(SEGUIMIENTO!$W$23:$W$122,"SI",SEGUIMIENTO!$Y$23:$Y$122,"NARP")</f>
        <v>0</v>
      </c>
      <c r="BG49" s="213">
        <f>COUNTIFS(SEGUIMIENTO!$W$23:$W$122,"SI",SEGUIMIENTO!$Y$23:$Y$122,"R")</f>
        <v>0</v>
      </c>
      <c r="BH49" s="214">
        <f>COUNTIFS(SEGUIMIENTO!$W$23:$W$122,"SI",SEGUIMIENTO!$Y$23:$Y$122,"N/A")</f>
        <v>0</v>
      </c>
      <c r="BI49" s="22"/>
      <c r="BJ49" s="22"/>
      <c r="BK49" s="212">
        <f>COUNTIFS(SEGUIMIENTO!$W$23:$W$122,"SI",SEGUIMIENTO!$AA$23:$AA$122,"JAC")</f>
        <v>0</v>
      </c>
      <c r="BL49" s="213">
        <f>COUNTIFS(SEGUIMIENTO!$W$23:$W$122,"SI",SEGUIMIENTO!$AA$23:$AA$122,"JAL")</f>
        <v>0</v>
      </c>
      <c r="BM49" s="213">
        <f>COUNTIFS(SEGUIMIENTO!$W$23:$W$122,"SI",SEGUIMIENTO!$AA$23:$AA$122,"AMB")</f>
        <v>0</v>
      </c>
      <c r="BN49" s="213">
        <f>COUNTIFS(SEGUIMIENTO!$W$23:$W$122,"SI",SEGUIMIENTO!$AA$23:$AA$122,"DDHH")</f>
        <v>0</v>
      </c>
      <c r="BO49" s="213">
        <f>COUNTIFS(SEGUIMIENTO!$W$23:$W$122,"SI",SEGUIMIENTO!$AA$23:$AA$122,"SIND")</f>
        <v>0</v>
      </c>
      <c r="BP49" s="213">
        <f>COUNTIFS(SEGUIMIENTO!$W$23:$W$122,"SI",SEGUIMIENTO!$AA$23:$AA$122,"REL")</f>
        <v>0</v>
      </c>
      <c r="BQ49" s="213">
        <f>COUNTIFS(SEGUIMIENTO!$W$23:$W$122,"SI",SEGUIMIENTO!$AA$23:$AA$122,"OTR")</f>
        <v>0</v>
      </c>
      <c r="BR49" s="214">
        <f>COUNTIFS(SEGUIMIENTO!$W$23:$W$122,"SI",SEGUIMIENTO!$AA$23:$AA$122,"N/A")</f>
        <v>0</v>
      </c>
      <c r="BS49" s="22"/>
      <c r="BT49" s="22"/>
      <c r="BU49" s="212">
        <f>COUNTIFS(SEGUIMIENTO!$W$23:$W$122,"SI",SEGUIMIENTO!$AB$23:$AB$122,"RUR")</f>
        <v>0</v>
      </c>
      <c r="BV49" s="214">
        <f>COUNTIFS(SEGUIMIENTO!$W$23:$W$122,"SI",SEGUIMIENTO!$AB$23:$AB$122,"URB")</f>
        <v>0</v>
      </c>
      <c r="BW49" s="22"/>
      <c r="BX49" s="22"/>
      <c r="BY49" s="212">
        <f>COUNTIFS(SEGUIMIENTO!$W$23:$W$122,"SI",SEGUIMIENTO!AD$23:AD$122,"1")</f>
        <v>0</v>
      </c>
      <c r="BZ49" s="213">
        <f>COUNTIFS(SEGUIMIENTO!$W$23:$W$122,"SI",SEGUIMIENTO!AD$23:AD$122,"2")</f>
        <v>0</v>
      </c>
      <c r="CA49" s="213">
        <f>COUNTIFS(SEGUIMIENTO!$W$23:$W$122,"SI",SEGUIMIENTO!AD$23:AD$122,"3")</f>
        <v>0</v>
      </c>
      <c r="CB49" s="213">
        <f>COUNTIFS(SEGUIMIENTO!$W$23:$W$122,"SI",SEGUIMIENTO!AD$23:AD$122,"4")</f>
        <v>0</v>
      </c>
      <c r="CC49" s="213">
        <f>COUNTIFS(SEGUIMIENTO!$W$23:$W$122,"SI",SEGUIMIENTO!AD$23:AD$122,"5")</f>
        <v>0</v>
      </c>
      <c r="CD49" s="213">
        <f>COUNTIFS(SEGUIMIENTO!$W$23:$W$122,"SI",SEGUIMIENTO!AD$23:AD$122,"6")</f>
        <v>0</v>
      </c>
      <c r="CE49" s="213">
        <f>COUNTIFS(SEGUIMIENTO!$W$23:$W$122,"SI",SEGUIMIENTO!AD$23:AD$122,"7")</f>
        <v>0</v>
      </c>
      <c r="CF49" s="213">
        <f>COUNTIFS(SEGUIMIENTO!$W$23:$W$122,"SI",SEGUIMIENTO!AD$23:AD$122,"8")</f>
        <v>0</v>
      </c>
      <c r="CG49" s="214">
        <f>COUNTIFS(SEGUIMIENTO!$W$23:$W$122,"SI",SEGUIMIENTO!AD$23:AD$122,"9")</f>
        <v>0</v>
      </c>
      <c r="CH49" s="22"/>
      <c r="CI49" s="22"/>
      <c r="CJ49" s="212">
        <f>COUNTIFS(SEGUIMIENTO!$W$23:$W$122,"SI",SEGUIMIENTO!$Z$23:$Z$122,"1")</f>
        <v>0</v>
      </c>
      <c r="CK49" s="213">
        <f>COUNTIFS(SEGUIMIENTO!$W$23:$W$122,"SI",SEGUIMIENTO!$Z$23:$Z$122,"2")</f>
        <v>0</v>
      </c>
      <c r="CL49" s="213">
        <f>COUNTIFS(SEGUIMIENTO!$W$23:$W$122,"SI",SEGUIMIENTO!$Z$23:$Z$122,"3")</f>
        <v>0</v>
      </c>
      <c r="CM49" s="213">
        <f>COUNTIFS(SEGUIMIENTO!$W$23:$W$122,"SI",SEGUIMIENTO!$Z$23:$Z$122,"4")</f>
        <v>0</v>
      </c>
      <c r="CN49" s="213">
        <f>COUNTIFS(SEGUIMIENTO!$W$23:$W$122,"SI",SEGUIMIENTO!$Z$23:$Z$122,"5")</f>
        <v>0</v>
      </c>
      <c r="CO49" s="213">
        <f>COUNTIFS(SEGUIMIENTO!$W$23:$W$122,"SI",SEGUIMIENTO!$Z$23:$Z$122,"6")</f>
        <v>0</v>
      </c>
      <c r="CP49" s="213">
        <f>COUNTIFS(SEGUIMIENTO!$W$23:$W$122,"SI",SEGUIMIENTO!$Z$23:$Z$122,"7")</f>
        <v>0</v>
      </c>
      <c r="CQ49" s="213">
        <f>COUNTIFS(SEGUIMIENTO!$W$23:$W$122,"SI",SEGUIMIENTO!$Z$23:$Z$122,"8")</f>
        <v>0</v>
      </c>
      <c r="CR49" s="213">
        <f>COUNTIFS(SEGUIMIENTO!$W$23:$W$122,"SI",SEGUIMIENTO!$Z$23:$Z$122,"9")</f>
        <v>0</v>
      </c>
      <c r="CS49" s="213">
        <f>COUNTIFS(SEGUIMIENTO!$W$23:$W$122,"SI",SEGUIMIENTO!$Z$23:$Z$122,"10")</f>
        <v>0</v>
      </c>
      <c r="CT49" s="213">
        <f>COUNTIFS(SEGUIMIENTO!$W$23:$W$122,"SI",SEGUIMIENTO!$Z$23:$Z$122,"11")</f>
        <v>0</v>
      </c>
      <c r="CU49" s="213">
        <f>COUNTIFS(SEGUIMIENTO!$W$23:$W$122,"SI",SEGUIMIENTO!$Z$23:$Z$122,"12")</f>
        <v>0</v>
      </c>
      <c r="CV49" s="213">
        <f>COUNTIFS(SEGUIMIENTO!$W$23:$W$122,"SI",SEGUIMIENTO!$Z$23:$Z$122,"13")</f>
        <v>0</v>
      </c>
      <c r="CW49" s="213">
        <f>COUNTIFS(SEGUIMIENTO!$W$23:$W$122,"SI",SEGUIMIENTO!$Z$23:$Z$122,"14")</f>
        <v>0</v>
      </c>
      <c r="CX49" s="213">
        <f>COUNTIFS(SEGUIMIENTO!$W$23:$W$122,"SI",SEGUIMIENTO!$Z$23:$Z$122,"15")</f>
        <v>0</v>
      </c>
      <c r="CY49" s="213">
        <f>COUNTIFS(SEGUIMIENTO!$W$23:$W$122,"SI",SEGUIMIENTO!$Z$23:$Z$122,"16")</f>
        <v>0</v>
      </c>
      <c r="CZ49" s="214">
        <f>COUNTIFS(SEGUIMIENTO!$W$23:$W$122,"SI",SEGUIMIENTO!$Z$23:$Z$122,"N/A")</f>
        <v>0</v>
      </c>
      <c r="DA49" s="533"/>
      <c r="DB49" s="5"/>
      <c r="DC49" s="5"/>
      <c r="DD49" s="5"/>
      <c r="DE49" s="5"/>
      <c r="DF49" s="10"/>
      <c r="DG49" s="10"/>
      <c r="DH49" s="10"/>
      <c r="DI49" s="10"/>
      <c r="DJ49" s="10"/>
      <c r="DK49" s="10"/>
      <c r="DL49" s="10"/>
      <c r="DM49" s="535"/>
      <c r="DN49" s="5"/>
      <c r="DO49" s="5"/>
      <c r="DP49" s="5"/>
      <c r="DQ49" s="5"/>
      <c r="DR49" s="5"/>
      <c r="DS49" s="5"/>
      <c r="EJ49" s="285"/>
    </row>
    <row r="50" spans="2:140 16310:16310" s="11" customFormat="1" ht="12.45" customHeight="1" thickBot="1" x14ac:dyDescent="0.25">
      <c r="B50" s="129"/>
      <c r="C50" s="311"/>
      <c r="D50" s="347" t="s">
        <v>90</v>
      </c>
      <c r="E50" s="348"/>
      <c r="F50" s="348"/>
      <c r="G50" s="348"/>
      <c r="H50" s="348"/>
      <c r="I50" s="348"/>
      <c r="J50" s="348"/>
      <c r="K50" s="348"/>
      <c r="L50" s="348"/>
      <c r="M50" s="144">
        <f>SUM(M37:M49)</f>
        <v>0</v>
      </c>
      <c r="N50" s="9"/>
      <c r="O50" s="9">
        <f>SUM(O37:O49)</f>
        <v>0</v>
      </c>
      <c r="P50" s="9">
        <f t="shared" ref="P50:T50" si="41">SUM(P37:P49)</f>
        <v>0</v>
      </c>
      <c r="Q50" s="9">
        <f t="shared" si="41"/>
        <v>0</v>
      </c>
      <c r="R50" s="9">
        <f t="shared" si="41"/>
        <v>0</v>
      </c>
      <c r="S50" s="9">
        <f t="shared" si="41"/>
        <v>0</v>
      </c>
      <c r="T50" s="9">
        <f t="shared" si="41"/>
        <v>0</v>
      </c>
      <c r="U50" s="142">
        <f>SUM(O50:T50)</f>
        <v>0</v>
      </c>
      <c r="V50" s="9"/>
      <c r="W50" s="9">
        <f t="shared" ref="W50" si="42">SUM(W37:W49)</f>
        <v>0</v>
      </c>
      <c r="X50" s="9">
        <f t="shared" ref="X50" si="43">SUM(X37:X49)</f>
        <v>0</v>
      </c>
      <c r="Y50" s="9">
        <f t="shared" ref="Y50" si="44">SUM(Y37:Y49)</f>
        <v>0</v>
      </c>
      <c r="Z50" s="9">
        <f t="shared" ref="Z50" si="45">SUM(Z37:Z49)</f>
        <v>0</v>
      </c>
      <c r="AA50" s="9">
        <f t="shared" ref="AA50" si="46">SUM(AA37:AA49)</f>
        <v>0</v>
      </c>
      <c r="AB50" s="9">
        <f t="shared" ref="AB50" si="47">SUM(AB37:AB49)</f>
        <v>0</v>
      </c>
      <c r="AC50" s="9">
        <f t="shared" ref="AC50" si="48">SUM(AC37:AC49)</f>
        <v>0</v>
      </c>
      <c r="AD50" s="142">
        <f>SUM(W50:AC50)</f>
        <v>0</v>
      </c>
      <c r="AE50" s="10"/>
      <c r="AF50" s="9">
        <f t="shared" ref="AF50" si="49">SUM(AF37:AF49)</f>
        <v>0</v>
      </c>
      <c r="AG50" s="9">
        <f t="shared" ref="AG50" si="50">SUM(AG37:AG49)</f>
        <v>0</v>
      </c>
      <c r="AH50" s="142">
        <f>SUM(AF50:AG50)</f>
        <v>0</v>
      </c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42">
        <f>SUM(AY37:AY49)</f>
        <v>0</v>
      </c>
      <c r="AZ50" s="10"/>
      <c r="BA50" s="10">
        <f>SUM(BA37:BA49)</f>
        <v>0</v>
      </c>
      <c r="BB50" s="10">
        <f t="shared" ref="BB50:BH50" si="51">SUM(BB37:BB49)</f>
        <v>0</v>
      </c>
      <c r="BC50" s="10">
        <f t="shared" si="51"/>
        <v>0</v>
      </c>
      <c r="BD50" s="10">
        <f t="shared" si="51"/>
        <v>0</v>
      </c>
      <c r="BE50" s="10">
        <f t="shared" si="51"/>
        <v>0</v>
      </c>
      <c r="BF50" s="10">
        <f t="shared" si="51"/>
        <v>0</v>
      </c>
      <c r="BG50" s="10">
        <f t="shared" si="51"/>
        <v>0</v>
      </c>
      <c r="BH50" s="143">
        <f t="shared" si="51"/>
        <v>0</v>
      </c>
      <c r="BI50" s="140">
        <f>SUM(BA50:BG50)</f>
        <v>0</v>
      </c>
      <c r="BJ50" s="10"/>
      <c r="BK50" s="10">
        <f t="shared" ref="BK50" si="52">SUM(BK37:BK49)</f>
        <v>0</v>
      </c>
      <c r="BL50" s="10">
        <f t="shared" ref="BL50" si="53">SUM(BL37:BL49)</f>
        <v>0</v>
      </c>
      <c r="BM50" s="10">
        <f t="shared" ref="BM50" si="54">SUM(BM37:BM49)</f>
        <v>0</v>
      </c>
      <c r="BN50" s="10">
        <f t="shared" ref="BN50" si="55">SUM(BN37:BN49)</f>
        <v>0</v>
      </c>
      <c r="BO50" s="10">
        <f t="shared" ref="BO50" si="56">SUM(BO37:BO49)</f>
        <v>0</v>
      </c>
      <c r="BP50" s="10">
        <f t="shared" ref="BP50" si="57">SUM(BP37:BP49)</f>
        <v>0</v>
      </c>
      <c r="BQ50" s="10">
        <f t="shared" ref="BQ50" si="58">SUM(BQ37:BQ49)</f>
        <v>0</v>
      </c>
      <c r="BR50" s="143">
        <f t="shared" ref="BR50" si="59">SUM(BR37:BR49)</f>
        <v>0</v>
      </c>
      <c r="BS50" s="140">
        <f>SUM(BK50:BQ50)</f>
        <v>0</v>
      </c>
      <c r="BT50" s="10"/>
      <c r="BU50" s="10">
        <f t="shared" ref="BU50" si="60">SUM(BU37:BU49)</f>
        <v>0</v>
      </c>
      <c r="BV50" s="10">
        <f t="shared" ref="BV50" si="61">SUM(BV37:BV49)</f>
        <v>0</v>
      </c>
      <c r="BW50" s="142">
        <f>SUM(BU50:BV50)</f>
        <v>0</v>
      </c>
      <c r="BX50" s="10"/>
      <c r="BY50" s="10">
        <f t="shared" ref="BY50" si="62">SUM(BY37:BY49)</f>
        <v>0</v>
      </c>
      <c r="BZ50" s="10">
        <f t="shared" ref="BZ50" si="63">SUM(BZ37:BZ49)</f>
        <v>0</v>
      </c>
      <c r="CA50" s="10">
        <f t="shared" ref="CA50" si="64">SUM(CA37:CA49)</f>
        <v>0</v>
      </c>
      <c r="CB50" s="10">
        <f t="shared" ref="CB50" si="65">SUM(CB37:CB49)</f>
        <v>0</v>
      </c>
      <c r="CC50" s="10">
        <f t="shared" ref="CC50" si="66">SUM(CC37:CC49)</f>
        <v>0</v>
      </c>
      <c r="CD50" s="10">
        <f t="shared" ref="CD50" si="67">SUM(CD37:CD49)</f>
        <v>0</v>
      </c>
      <c r="CE50" s="10">
        <f t="shared" ref="CE50" si="68">SUM(CE37:CE49)</f>
        <v>0</v>
      </c>
      <c r="CF50" s="10">
        <f t="shared" ref="CF50" si="69">SUM(CF37:CF49)</f>
        <v>0</v>
      </c>
      <c r="CG50" s="10">
        <f t="shared" ref="CG50" si="70">SUM(CG37:CG49)</f>
        <v>0</v>
      </c>
      <c r="CH50" s="142">
        <f>SUM(BY50:CG50)</f>
        <v>0</v>
      </c>
      <c r="CI50" s="10"/>
      <c r="CJ50" s="10">
        <f>SUM(CJ37:CJ49)</f>
        <v>0</v>
      </c>
      <c r="CK50" s="10">
        <f t="shared" ref="CK50:CZ50" si="71">SUM(CK37:CK49)</f>
        <v>0</v>
      </c>
      <c r="CL50" s="10">
        <f t="shared" si="71"/>
        <v>0</v>
      </c>
      <c r="CM50" s="10">
        <f t="shared" si="71"/>
        <v>0</v>
      </c>
      <c r="CN50" s="10">
        <f t="shared" si="71"/>
        <v>0</v>
      </c>
      <c r="CO50" s="10">
        <f t="shared" si="71"/>
        <v>0</v>
      </c>
      <c r="CP50" s="10">
        <f t="shared" si="71"/>
        <v>0</v>
      </c>
      <c r="CQ50" s="10">
        <f t="shared" si="71"/>
        <v>0</v>
      </c>
      <c r="CR50" s="10">
        <f t="shared" si="71"/>
        <v>0</v>
      </c>
      <c r="CS50" s="10">
        <f t="shared" si="71"/>
        <v>0</v>
      </c>
      <c r="CT50" s="10">
        <f t="shared" si="71"/>
        <v>0</v>
      </c>
      <c r="CU50" s="10">
        <f t="shared" si="71"/>
        <v>0</v>
      </c>
      <c r="CV50" s="10">
        <f t="shared" si="71"/>
        <v>0</v>
      </c>
      <c r="CW50" s="10">
        <f t="shared" si="71"/>
        <v>0</v>
      </c>
      <c r="CX50" s="10">
        <f t="shared" si="71"/>
        <v>0</v>
      </c>
      <c r="CY50" s="10">
        <f t="shared" si="71"/>
        <v>0</v>
      </c>
      <c r="CZ50" s="143">
        <f t="shared" si="71"/>
        <v>0</v>
      </c>
      <c r="DA50" s="140">
        <f>SUM(CJ50:CY50)</f>
        <v>0</v>
      </c>
      <c r="DB50" s="5"/>
      <c r="DC50" s="5"/>
      <c r="DD50" s="5"/>
      <c r="DE50" s="5"/>
      <c r="DF50" s="5"/>
      <c r="DG50" s="5"/>
      <c r="DH50" s="5"/>
      <c r="DI50" s="5"/>
      <c r="DJ50" s="5"/>
      <c r="DK50" s="10"/>
      <c r="DL50" s="10"/>
      <c r="DM50" s="535"/>
      <c r="DN50" s="5"/>
      <c r="DO50" s="5"/>
      <c r="DP50" s="5"/>
      <c r="DQ50" s="5"/>
      <c r="DR50" s="5"/>
      <c r="DS50" s="5"/>
      <c r="EJ50" s="285"/>
    </row>
    <row r="51" spans="2:140 16310:16310" s="11" customFormat="1" ht="10.050000000000001" customHeight="1" thickBo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9"/>
      <c r="O51" s="9"/>
      <c r="P51" s="9"/>
      <c r="Q51" s="9"/>
      <c r="R51" s="9"/>
      <c r="S51" s="9"/>
      <c r="T51" s="9"/>
      <c r="U51" s="9"/>
      <c r="V51" s="9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10"/>
      <c r="DL51" s="5"/>
      <c r="DM51" s="5"/>
      <c r="DN51" s="5"/>
      <c r="DO51" s="5"/>
      <c r="DP51" s="5"/>
      <c r="DQ51" s="5"/>
      <c r="DR51" s="5"/>
      <c r="DS51" s="5"/>
      <c r="EJ51" s="407"/>
    </row>
    <row r="52" spans="2:140 16310:16310" s="11" customFormat="1" ht="12.45" customHeight="1" thickBot="1" x14ac:dyDescent="0.25">
      <c r="B52" s="325" t="s">
        <v>82</v>
      </c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145">
        <f>COUNTIF(SEGUIMIENTO!X$23:X$122,"SI")</f>
        <v>0</v>
      </c>
      <c r="N52" s="22"/>
      <c r="O52" s="226">
        <f>+AY16</f>
        <v>0</v>
      </c>
      <c r="P52" s="39">
        <f>+AY17</f>
        <v>0</v>
      </c>
      <c r="Q52" s="256">
        <f>+AY18</f>
        <v>0</v>
      </c>
      <c r="R52" s="39">
        <f>+AY19</f>
        <v>0</v>
      </c>
      <c r="S52" s="257">
        <f>+AY20</f>
        <v>0</v>
      </c>
      <c r="T52" s="25">
        <f>+AY21</f>
        <v>0</v>
      </c>
      <c r="U52" s="142">
        <f>SUM(O52:T52)</f>
        <v>0</v>
      </c>
      <c r="V52" s="22"/>
      <c r="W52" s="226">
        <f>+AY24</f>
        <v>0</v>
      </c>
      <c r="X52" s="39">
        <f>+AY25</f>
        <v>0</v>
      </c>
      <c r="Y52" s="256">
        <f>+AY26</f>
        <v>0</v>
      </c>
      <c r="Z52" s="39">
        <f>+AY27</f>
        <v>0</v>
      </c>
      <c r="AA52" s="257">
        <f>+AY28</f>
        <v>0</v>
      </c>
      <c r="AB52" s="39">
        <f>+AY29</f>
        <v>0</v>
      </c>
      <c r="AC52" s="258">
        <f>+AY30</f>
        <v>0</v>
      </c>
      <c r="AD52" s="142">
        <f>SUM(W52:AC52)</f>
        <v>0</v>
      </c>
      <c r="AE52" s="22"/>
      <c r="AF52" s="226">
        <f>+AY33</f>
        <v>0</v>
      </c>
      <c r="AG52" s="25">
        <f>+AY34</f>
        <v>0</v>
      </c>
      <c r="AH52" s="142">
        <f>SUM(AF52:AG52)</f>
        <v>0</v>
      </c>
      <c r="AI52" s="22"/>
      <c r="AJ52" s="226">
        <f>+AY37</f>
        <v>0</v>
      </c>
      <c r="AK52" s="39">
        <f>+AY38</f>
        <v>0</v>
      </c>
      <c r="AL52" s="256">
        <f>+AY39</f>
        <v>0</v>
      </c>
      <c r="AM52" s="39">
        <f>+AY40</f>
        <v>0</v>
      </c>
      <c r="AN52" s="257">
        <f>+AY41</f>
        <v>0</v>
      </c>
      <c r="AO52" s="39">
        <f>+AY42</f>
        <v>0</v>
      </c>
      <c r="AP52" s="286">
        <f>+AY43</f>
        <v>0</v>
      </c>
      <c r="AQ52" s="263">
        <f>+AY44</f>
        <v>0</v>
      </c>
      <c r="AR52" s="264">
        <f>+AY45</f>
        <v>0</v>
      </c>
      <c r="AS52" s="263">
        <f>+AY46</f>
        <v>0</v>
      </c>
      <c r="AT52" s="265">
        <f>+AY47</f>
        <v>0</v>
      </c>
      <c r="AU52" s="263">
        <f>+AY48</f>
        <v>0</v>
      </c>
      <c r="AV52" s="266">
        <f>+AY49</f>
        <v>0</v>
      </c>
      <c r="AW52" s="142">
        <f>SUM(AJ52:AV52)</f>
        <v>0</v>
      </c>
      <c r="AX52" s="22"/>
      <c r="AY52" s="156"/>
      <c r="AZ52" s="22"/>
      <c r="BA52" s="226">
        <f>COUNTIFS(SEGUIMIENTO!$X$23:$X$122,"SI",SEGUIMIENTO!$Y$23:$Y$122,"I-MB")</f>
        <v>0</v>
      </c>
      <c r="BB52" s="227">
        <f>COUNTIFS(SEGUIMIENTO!$X$23:$X$122,"SI",SEGUIMIENTO!$Y$23:$Y$122,"I-U")</f>
        <v>0</v>
      </c>
      <c r="BC52" s="227">
        <f>COUNTIFS(SEGUIMIENTO!$X$23:$X$122,"SI",SEGUIMIENTO!$Y$23:$Y$122,"I-I")</f>
        <v>0</v>
      </c>
      <c r="BD52" s="227">
        <f>COUNTIFS(SEGUIMIENTO!$X$23:$X$122,"SI",SEGUIMIENTO!$Y$23:$Y$122,"I-K")</f>
        <v>0</v>
      </c>
      <c r="BE52" s="227">
        <f>COUNTIFS(SEGUIMIENTO!$X$23:$X$122,"SI",SEGUIMIENTO!$Y$23:$Y$122,"I-FD")</f>
        <v>0</v>
      </c>
      <c r="BF52" s="227">
        <f>COUNTIFS(SEGUIMIENTO!$X$23:$X$122,"SI",SEGUIMIENTO!$Y$23:$Y$122,"A")</f>
        <v>0</v>
      </c>
      <c r="BG52" s="227">
        <f>COUNTIFS(SEGUIMIENTO!$X$23:$X$122,"SI",SEGUIMIENTO!$Y$23:$Y$122,"R")</f>
        <v>0</v>
      </c>
      <c r="BH52" s="143">
        <f>COUNTIFS(SEGUIMIENTO!$X$23:$X$122,"SI",SEGUIMIENTO!$Y$23:$Y$122,"N/A")</f>
        <v>0</v>
      </c>
      <c r="BI52" s="140">
        <f>SUM(BA52:BG52)</f>
        <v>0</v>
      </c>
      <c r="BJ52" s="22"/>
      <c r="BK52" s="226">
        <f>COUNTIFS(SEGUIMIENTO!$X$23:$X$122,"SI",SEGUIMIENTO!$AA$23:$AA$122,"JAC")</f>
        <v>0</v>
      </c>
      <c r="BL52" s="227">
        <f>COUNTIFS(SEGUIMIENTO!$X$23:$X$122,"SI",SEGUIMIENTO!$AA$23:$AA$122,"JAL")</f>
        <v>0</v>
      </c>
      <c r="BM52" s="227">
        <f>COUNTIFS(SEGUIMIENTO!$X$23:$X$122,"SI",SEGUIMIENTO!$AA$23:$AA$122,"AMB")</f>
        <v>0</v>
      </c>
      <c r="BN52" s="227">
        <f>COUNTIFS(SEGUIMIENTO!$X$23:$X$122,"SI",SEGUIMIENTO!$AA$23:$AA$122,"DDHH")</f>
        <v>0</v>
      </c>
      <c r="BO52" s="227">
        <f>COUNTIFS(SEGUIMIENTO!$X$23:$X$122,"SI",SEGUIMIENTO!$AA$23:$AA$122,"SIND")</f>
        <v>0</v>
      </c>
      <c r="BP52" s="227">
        <f>COUNTIFS(SEGUIMIENTO!$X$23:$X$122,"SI",SEGUIMIENTO!$AA$23:$AA$122,"REL")</f>
        <v>0</v>
      </c>
      <c r="BQ52" s="228">
        <f>COUNTIFS(SEGUIMIENTO!$X$23:$X$122,"SI",SEGUIMIENTO!$AA$23:$AA$122,"OTR")</f>
        <v>0</v>
      </c>
      <c r="BR52" s="146">
        <f>COUNTIFS(SEGUIMIENTO!$X$23:$X$122,"SI",SEGUIMIENTO!$AA$23:$AA$122,"N/A")</f>
        <v>0</v>
      </c>
      <c r="BS52" s="140">
        <f>SUM(BK52:BQ52)</f>
        <v>0</v>
      </c>
      <c r="BT52" s="22"/>
      <c r="BU52" s="226">
        <f>COUNTIFS(SEGUIMIENTO!$X$23:$X$122,"SI",SEGUIMIENTO!$AB$23:$AB$122,"RUR")</f>
        <v>0</v>
      </c>
      <c r="BV52" s="229">
        <f>COUNTIFS(SEGUIMIENTO!$X$23:$X$122,"SI",SEGUIMIENTO!$AB$23:$AB$122,"URB")</f>
        <v>0</v>
      </c>
      <c r="BW52" s="142">
        <f>SUM(BU52:BV52)</f>
        <v>0</v>
      </c>
      <c r="BX52" s="22"/>
      <c r="BY52" s="226">
        <f>COUNTIFS(SEGUIMIENTO!$X$23:$X$122,"SI",SEGUIMIENTO!AD$23:AD$122,"1")</f>
        <v>0</v>
      </c>
      <c r="BZ52" s="227">
        <f>COUNTIFS(SEGUIMIENTO!$X$23:$X$122,"SI",SEGUIMIENTO!AD$23:AD$122,"2")</f>
        <v>0</v>
      </c>
      <c r="CA52" s="227">
        <f>COUNTIFS(SEGUIMIENTO!$X$23:$X$122,"SI",SEGUIMIENTO!AD$23:AD$122,"3")</f>
        <v>0</v>
      </c>
      <c r="CB52" s="227">
        <f>COUNTIFS(SEGUIMIENTO!$X$23:$X$122,"SI",SEGUIMIENTO!AD$23:AD$122,"4")</f>
        <v>0</v>
      </c>
      <c r="CC52" s="227">
        <f>COUNTIFS(SEGUIMIENTO!$X$23:$X$122,"SI",SEGUIMIENTO!AD$23:AD$122,"5")</f>
        <v>0</v>
      </c>
      <c r="CD52" s="227">
        <f>COUNTIFS(SEGUIMIENTO!$X$23:$X$122,"SI",SEGUIMIENTO!AD$23:AD$122,"6")</f>
        <v>0</v>
      </c>
      <c r="CE52" s="227">
        <f>COUNTIFS(SEGUIMIENTO!$X$23:$X$122,"SI",SEGUIMIENTO!AD$23:AD$122,"7")</f>
        <v>0</v>
      </c>
      <c r="CF52" s="227">
        <f>COUNTIFS(SEGUIMIENTO!$X$23:$X$122,"SI",SEGUIMIENTO!AD$23:AD$122,"8")</f>
        <v>0</v>
      </c>
      <c r="CG52" s="229">
        <f>COUNTIFS(SEGUIMIENTO!$X$23:$X$122,"SI",SEGUIMIENTO!AD$23:AD$122,"9")</f>
        <v>0</v>
      </c>
      <c r="CH52" s="142">
        <f>SUM(BY52:CG52)</f>
        <v>0</v>
      </c>
      <c r="CI52" s="22"/>
      <c r="CJ52" s="226">
        <f>COUNTIFS(SEGUIMIENTO!$X$23:$X$122,"SI",SEGUIMIENTO!$Z$23:$Z$122,"1")</f>
        <v>0</v>
      </c>
      <c r="CK52" s="227">
        <f>COUNTIFS(SEGUIMIENTO!$X$23:$X$122,"SI",SEGUIMIENTO!$Z$23:$Z$122,"2")</f>
        <v>0</v>
      </c>
      <c r="CL52" s="227">
        <f>COUNTIFS(SEGUIMIENTO!$X$23:$X$122,"SI",SEGUIMIENTO!$Z$23:$Z$122,"3")</f>
        <v>0</v>
      </c>
      <c r="CM52" s="227">
        <f>COUNTIFS(SEGUIMIENTO!$X$23:$X$122,"SI",SEGUIMIENTO!$Z$23:$Z$122,"4")</f>
        <v>0</v>
      </c>
      <c r="CN52" s="227">
        <f>COUNTIFS(SEGUIMIENTO!$X$23:$X$122,"SI",SEGUIMIENTO!$Z$23:$Z$122,"5")</f>
        <v>0</v>
      </c>
      <c r="CO52" s="227">
        <f>COUNTIFS(SEGUIMIENTO!$X$23:$X$122,"SI",SEGUIMIENTO!$Z$23:$Z$122,"6")</f>
        <v>0</v>
      </c>
      <c r="CP52" s="227">
        <f>COUNTIFS(SEGUIMIENTO!$X$23:$X$122,"SI",SEGUIMIENTO!$Z$23:$Z$122,"7")</f>
        <v>0</v>
      </c>
      <c r="CQ52" s="227">
        <f>COUNTIFS(SEGUIMIENTO!$X$23:$X$122,"SI",SEGUIMIENTO!$Z$23:$Z$122,"8")</f>
        <v>0</v>
      </c>
      <c r="CR52" s="228">
        <f>COUNTIFS(SEGUIMIENTO!$X$23:$X$122,"SI",SEGUIMIENTO!$Z$23:$Z$122,"9")</f>
        <v>0</v>
      </c>
      <c r="CS52" s="227">
        <f>COUNTIFS(SEGUIMIENTO!$X$23:$X$122,"SI",SEGUIMIENTO!$Z$23:$Z$122,"10")</f>
        <v>0</v>
      </c>
      <c r="CT52" s="227">
        <f>COUNTIFS(SEGUIMIENTO!$X$23:$X$122,"SI",SEGUIMIENTO!$Z$23:$Z$122,"11")</f>
        <v>0</v>
      </c>
      <c r="CU52" s="227">
        <f>COUNTIFS(SEGUIMIENTO!$X$23:$X$122,"SI",SEGUIMIENTO!$Z$23:$Z$122,"12")</f>
        <v>0</v>
      </c>
      <c r="CV52" s="227">
        <f>COUNTIFS(SEGUIMIENTO!$X$23:$X$122,"SI",SEGUIMIENTO!$Z$23:$Z$122,"13")</f>
        <v>0</v>
      </c>
      <c r="CW52" s="227">
        <f>COUNTIFS(SEGUIMIENTO!$X$23:$X$122,"SI",SEGUIMIENTO!$Z$23:$Z$122,"14")</f>
        <v>0</v>
      </c>
      <c r="CX52" s="227">
        <f>COUNTIFS(SEGUIMIENTO!$X$23:$X$122,"SI",SEGUIMIENTO!$Z$23:$Z$122,"15")</f>
        <v>0</v>
      </c>
      <c r="CY52" s="227">
        <f>COUNTIFS(SEGUIMIENTO!$X$23:$X$122,"SI",SEGUIMIENTO!$Z$23:$Z$122,"16")</f>
        <v>0</v>
      </c>
      <c r="CZ52" s="143">
        <f>COUNTIFS(SEGUIMIENTO!$X$23:$X$122,"SI",SEGUIMIENTO!$Z$23:$Z$122,"N/A")</f>
        <v>0</v>
      </c>
      <c r="DA52" s="140">
        <f>SUM(CJ52:CY52)</f>
        <v>0</v>
      </c>
      <c r="DB52" s="5"/>
      <c r="DC52" s="5"/>
      <c r="DD52" s="5"/>
      <c r="DE52" s="5"/>
      <c r="DF52" s="5"/>
      <c r="DG52" s="5"/>
      <c r="DH52" s="5"/>
      <c r="DI52" s="5"/>
      <c r="DJ52" s="5"/>
      <c r="DK52" s="10"/>
      <c r="DL52" s="5"/>
      <c r="DM52" s="5"/>
      <c r="DN52" s="5"/>
      <c r="DO52" s="5"/>
      <c r="DP52" s="5"/>
      <c r="DQ52" s="5"/>
      <c r="DR52" s="5"/>
      <c r="DS52" s="5"/>
      <c r="EJ52" s="5"/>
    </row>
    <row r="53" spans="2:140 16310:16310" s="11" customFormat="1" ht="10.050000000000001" customHeight="1" thickBo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9"/>
      <c r="O53" s="9"/>
      <c r="P53" s="9"/>
      <c r="Q53" s="9"/>
      <c r="R53" s="9"/>
      <c r="S53" s="9"/>
      <c r="T53" s="9"/>
      <c r="U53" s="9"/>
      <c r="V53" s="9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5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10"/>
      <c r="DL53" s="5"/>
      <c r="DM53" s="5"/>
      <c r="DN53" s="5"/>
      <c r="DO53" s="5"/>
      <c r="DP53" s="5"/>
      <c r="DQ53" s="5"/>
      <c r="DR53" s="5"/>
      <c r="DS53" s="5"/>
      <c r="EJ53" s="407"/>
    </row>
    <row r="54" spans="2:140 16310:16310" s="11" customFormat="1" ht="12.45" customHeight="1" x14ac:dyDescent="0.2">
      <c r="B54" s="111" t="s">
        <v>32</v>
      </c>
      <c r="C54" s="114"/>
      <c r="D54" s="294" t="s">
        <v>84</v>
      </c>
      <c r="E54" s="307"/>
      <c r="F54" s="307"/>
      <c r="G54" s="307"/>
      <c r="H54" s="307"/>
      <c r="I54" s="307"/>
      <c r="J54" s="307"/>
      <c r="K54" s="307"/>
      <c r="L54" s="307"/>
      <c r="M54" s="171">
        <f>COUNTIF(SEGUIMIENTO!$Y$23:$Y$122,"I-MB")</f>
        <v>0</v>
      </c>
      <c r="N54" s="22"/>
      <c r="O54" s="169">
        <f>+BA16</f>
        <v>0</v>
      </c>
      <c r="P54" s="14">
        <f>+BA17</f>
        <v>0</v>
      </c>
      <c r="Q54" s="184">
        <f>+BA18</f>
        <v>0</v>
      </c>
      <c r="R54" s="14">
        <f>+BA19</f>
        <v>0</v>
      </c>
      <c r="S54" s="186">
        <f>+BA20</f>
        <v>0</v>
      </c>
      <c r="T54" s="13">
        <f>+BA21</f>
        <v>0</v>
      </c>
      <c r="U54" s="22"/>
      <c r="V54" s="22"/>
      <c r="W54" s="169">
        <f>+BA24</f>
        <v>0</v>
      </c>
      <c r="X54" s="14">
        <f>+BA25</f>
        <v>0</v>
      </c>
      <c r="Y54" s="184">
        <f>+BA26</f>
        <v>0</v>
      </c>
      <c r="Z54" s="14">
        <f>+BA27</f>
        <v>0</v>
      </c>
      <c r="AA54" s="186">
        <f>+BA28</f>
        <v>0</v>
      </c>
      <c r="AB54" s="14">
        <f>+BA29</f>
        <v>0</v>
      </c>
      <c r="AC54" s="191">
        <f>+BA30</f>
        <v>0</v>
      </c>
      <c r="AD54" s="22"/>
      <c r="AE54" s="22"/>
      <c r="AF54" s="169">
        <f>+BA33</f>
        <v>0</v>
      </c>
      <c r="AG54" s="13">
        <f>+BA34</f>
        <v>0</v>
      </c>
      <c r="AH54" s="22"/>
      <c r="AI54" s="22"/>
      <c r="AJ54" s="169">
        <f>+BA37</f>
        <v>0</v>
      </c>
      <c r="AK54" s="14">
        <f>+BA38</f>
        <v>0</v>
      </c>
      <c r="AL54" s="184">
        <f>+BA39</f>
        <v>0</v>
      </c>
      <c r="AM54" s="14">
        <f>+BA40</f>
        <v>0</v>
      </c>
      <c r="AN54" s="186">
        <f>+BA41</f>
        <v>0</v>
      </c>
      <c r="AO54" s="14">
        <f>+BA42</f>
        <v>0</v>
      </c>
      <c r="AP54" s="267">
        <f>+BA43</f>
        <v>0</v>
      </c>
      <c r="AQ54" s="158">
        <f>+BA44</f>
        <v>0</v>
      </c>
      <c r="AR54" s="260">
        <f>+BA45</f>
        <v>0</v>
      </c>
      <c r="AS54" s="158">
        <f>+BA46</f>
        <v>0</v>
      </c>
      <c r="AT54" s="261">
        <f>+BA47</f>
        <v>0</v>
      </c>
      <c r="AU54" s="158">
        <f>+BA48</f>
        <v>0</v>
      </c>
      <c r="AV54" s="262">
        <f>+BA49</f>
        <v>0</v>
      </c>
      <c r="AW54" s="22"/>
      <c r="AX54" s="22"/>
      <c r="AY54" s="192">
        <f>+BA52</f>
        <v>0</v>
      </c>
      <c r="AZ54" s="22"/>
      <c r="BA54" s="156"/>
      <c r="BB54" s="156"/>
      <c r="BC54" s="156"/>
      <c r="BD54" s="156"/>
      <c r="BE54" s="156"/>
      <c r="BF54" s="156"/>
      <c r="BG54" s="156"/>
      <c r="BH54" s="156"/>
      <c r="BI54" s="22"/>
      <c r="BJ54" s="22"/>
      <c r="BK54" s="169">
        <f>COUNTIFS(SEGUIMIENTO!$Y$23:$Y$122,"I-MB",SEGUIMIENTO!$AA$23:$AA$122,"JAC")</f>
        <v>0</v>
      </c>
      <c r="BL54" s="170">
        <f>COUNTIFS(SEGUIMIENTO!$Y$23:$Y$122,"I-MB",SEGUIMIENTO!$AA$23:$AA$122,"JAL")</f>
        <v>0</v>
      </c>
      <c r="BM54" s="170">
        <f>COUNTIFS(SEGUIMIENTO!$Y$23:$Y$122,"I-MB",SEGUIMIENTO!$AA$23:$AA$122,"AMB")</f>
        <v>0</v>
      </c>
      <c r="BN54" s="170">
        <f>COUNTIFS(SEGUIMIENTO!$Y$23:$Y$122,"I-MB",SEGUIMIENTO!$AA$23:$AA$122,"DDHH")</f>
        <v>0</v>
      </c>
      <c r="BO54" s="170">
        <f>COUNTIFS(SEGUIMIENTO!$Y$23:$Y$122,"I-MB",SEGUIMIENTO!$AA$23:$AA$122,"SIND")</f>
        <v>0</v>
      </c>
      <c r="BP54" s="170">
        <f>COUNTIFS(SEGUIMIENTO!$Y$23:$Y$122,"I-MB",SEGUIMIENTO!$AA$23:$AA$122,"REL")</f>
        <v>0</v>
      </c>
      <c r="BQ54" s="170">
        <f>COUNTIFS(SEGUIMIENTO!$Y$23:$Y$122,"I-MB",SEGUIMIENTO!$AA$23:$AA$122,"1")</f>
        <v>0</v>
      </c>
      <c r="BR54" s="171">
        <f>COUNTIFS(SEGUIMIENTO!$Y$23:$Y$122,"I-MB",SEGUIMIENTO!$AA$23:$AA$122,"N/A")</f>
        <v>0</v>
      </c>
      <c r="BS54" s="22"/>
      <c r="BT54" s="22"/>
      <c r="BU54" s="169">
        <f>COUNTIFS(SEGUIMIENTO!$Y$23:$Y$122,"I-MB",SEGUIMIENTO!$AB$23:$AB$122,"RUR")</f>
        <v>0</v>
      </c>
      <c r="BV54" s="171">
        <f>COUNTIFS(SEGUIMIENTO!$Y$23:$Y$122,"I-MB",SEGUIMIENTO!$AB$23:$AB$122,"URB")</f>
        <v>0</v>
      </c>
      <c r="BW54" s="22"/>
      <c r="BX54" s="22"/>
      <c r="BY54" s="169">
        <f>COUNTIFS(SEGUIMIENTO!$Y$23:$Y$122,"I-MB",SEGUIMIENTO!$AD$23:$AD$122,"1")</f>
        <v>0</v>
      </c>
      <c r="BZ54" s="170">
        <f>COUNTIFS(SEGUIMIENTO!$Y$23:$Y$122,"I-MB",SEGUIMIENTO!$AD$23:$AD$122,"2")</f>
        <v>0</v>
      </c>
      <c r="CA54" s="170">
        <f>COUNTIFS(SEGUIMIENTO!$Y$23:$Y$122,"I-MB",SEGUIMIENTO!$AD$23:$AD$122,"3")</f>
        <v>0</v>
      </c>
      <c r="CB54" s="170">
        <f>COUNTIFS(SEGUIMIENTO!$Y$23:$Y$122,"I-MB",SEGUIMIENTO!$AD$23:$AD$122,"4")</f>
        <v>0</v>
      </c>
      <c r="CC54" s="170">
        <f>COUNTIFS(SEGUIMIENTO!$Y$23:$Y$122,"I-MB",SEGUIMIENTO!$AD$23:$AD$122,"5")</f>
        <v>0</v>
      </c>
      <c r="CD54" s="170">
        <f>COUNTIFS(SEGUIMIENTO!$Y$23:$Y$122,"I-MB",SEGUIMIENTO!$AD$23:$AD$122,"6")</f>
        <v>0</v>
      </c>
      <c r="CE54" s="170">
        <f>COUNTIFS(SEGUIMIENTO!$Y$23:$Y$122,"I-MB",SEGUIMIENTO!$AD$23:$AD$122,"7")</f>
        <v>0</v>
      </c>
      <c r="CF54" s="170">
        <f>COUNTIFS(SEGUIMIENTO!$Y$23:$Y$122,"I-MB",SEGUIMIENTO!$AD$23:$AD$122,"8")</f>
        <v>0</v>
      </c>
      <c r="CG54" s="171">
        <f>COUNTIFS(SEGUIMIENTO!$Y$23:$Y$122,"I-MB",SEGUIMIENTO!$AD$23:$AD$122,"9")</f>
        <v>0</v>
      </c>
      <c r="CH54" s="22"/>
      <c r="CI54" s="22"/>
      <c r="CJ54" s="169">
        <f>COUNTIFS(SEGUIMIENTO!$Y$23:$Y$122,"I-MB",SEGUIMIENTO!$Z$23:$Z$122,"1")</f>
        <v>0</v>
      </c>
      <c r="CK54" s="170">
        <f>COUNTIFS(SEGUIMIENTO!$Y$23:$Y$122,"I-MB",SEGUIMIENTO!$Z$23:$Z$122,"2")</f>
        <v>0</v>
      </c>
      <c r="CL54" s="170">
        <f>COUNTIFS(SEGUIMIENTO!$Y$23:$Y$122,"I-MB",SEGUIMIENTO!$Z$23:$Z$122,"3")</f>
        <v>0</v>
      </c>
      <c r="CM54" s="170">
        <f>COUNTIFS(SEGUIMIENTO!$Y$23:$Y$122,"I-MB",SEGUIMIENTO!$Z$23:$Z$122,"4")</f>
        <v>0</v>
      </c>
      <c r="CN54" s="170">
        <f>COUNTIFS(SEGUIMIENTO!$Y$23:$Y$122,"I-MB",SEGUIMIENTO!$Z$23:$Z$122,"5")</f>
        <v>0</v>
      </c>
      <c r="CO54" s="170">
        <f>COUNTIFS(SEGUIMIENTO!$Y$23:$Y$122,"I-MB",SEGUIMIENTO!$Z$23:$Z$122,"6")</f>
        <v>0</v>
      </c>
      <c r="CP54" s="170">
        <f>COUNTIFS(SEGUIMIENTO!$Y$23:$Y$122,"I-MB",SEGUIMIENTO!$Z$23:$Z$122,"7")</f>
        <v>0</v>
      </c>
      <c r="CQ54" s="170">
        <f>COUNTIFS(SEGUIMIENTO!$Y$23:$Y$122,"I-MB",SEGUIMIENTO!$Z$23:$Z$122,"8")</f>
        <v>0</v>
      </c>
      <c r="CR54" s="170">
        <f>COUNTIFS(SEGUIMIENTO!$Y$23:$Y$122,"I-MB",SEGUIMIENTO!$Z$23:$Z$122,"9")</f>
        <v>0</v>
      </c>
      <c r="CS54" s="170">
        <f>COUNTIFS(SEGUIMIENTO!$Y$23:$Y$122,"I-MB",SEGUIMIENTO!$Z$23:$Z$122,"10")</f>
        <v>0</v>
      </c>
      <c r="CT54" s="170">
        <f>COUNTIFS(SEGUIMIENTO!$Y$23:$Y$122,"I-MB",SEGUIMIENTO!$Z$23:$Z$122,"11")</f>
        <v>0</v>
      </c>
      <c r="CU54" s="170">
        <f>COUNTIFS(SEGUIMIENTO!$Y$23:$Y$122,"I-MB",SEGUIMIENTO!$Z$23:$Z$122,"12")</f>
        <v>0</v>
      </c>
      <c r="CV54" s="170">
        <f>COUNTIFS(SEGUIMIENTO!$Y$23:$Y$122,"I-MB",SEGUIMIENTO!$Z$23:$Z$122,"13")</f>
        <v>0</v>
      </c>
      <c r="CW54" s="170">
        <f>COUNTIFS(SEGUIMIENTO!$Y$23:$Y$122,"I-MB",SEGUIMIENTO!$Z$23:$Z$122,"14")</f>
        <v>0</v>
      </c>
      <c r="CX54" s="170">
        <f>COUNTIFS(SEGUIMIENTO!$Y$23:$Y$122,"I-MB",SEGUIMIENTO!$Z$23:$Z$122,"15")</f>
        <v>0</v>
      </c>
      <c r="CY54" s="170">
        <f>COUNTIFS(SEGUIMIENTO!$Y$23:$Y$122,"I-MB",SEGUIMIENTO!$Z$23:$Z$122,"16")</f>
        <v>0</v>
      </c>
      <c r="CZ54" s="171">
        <f>COUNTIFS(SEGUIMIENTO!$Y$23:$Y$122,"I-MB",SEGUIMIENTO!$Z$23:$Z$122,"N/A")</f>
        <v>0</v>
      </c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10"/>
      <c r="DL54" s="5"/>
      <c r="DM54" s="5"/>
      <c r="DN54" s="5"/>
      <c r="DO54" s="5"/>
      <c r="DP54" s="5"/>
      <c r="DQ54" s="5"/>
      <c r="DR54" s="5"/>
      <c r="DS54" s="5"/>
      <c r="EJ54" s="5"/>
    </row>
    <row r="55" spans="2:140 16310:16310" s="11" customFormat="1" ht="12.45" customHeight="1" x14ac:dyDescent="0.2">
      <c r="B55" s="112"/>
      <c r="C55" s="115"/>
      <c r="D55" s="85" t="s">
        <v>85</v>
      </c>
      <c r="E55" s="80"/>
      <c r="F55" s="80"/>
      <c r="G55" s="80"/>
      <c r="H55" s="80"/>
      <c r="I55" s="80"/>
      <c r="J55" s="80"/>
      <c r="K55" s="80"/>
      <c r="L55" s="80"/>
      <c r="M55" s="16">
        <f>COUNTIF(SEGUIMIENTO!$Y$23:$Y$122,"I-U")</f>
        <v>0</v>
      </c>
      <c r="N55" s="22"/>
      <c r="O55" s="182">
        <f>+BB16</f>
        <v>0</v>
      </c>
      <c r="P55" s="55">
        <f>+BB17</f>
        <v>0</v>
      </c>
      <c r="Q55" s="166">
        <f>+BB18</f>
        <v>0</v>
      </c>
      <c r="R55" s="55">
        <f>+BB19</f>
        <v>0</v>
      </c>
      <c r="S55" s="161">
        <f>+BB20</f>
        <v>0</v>
      </c>
      <c r="T55" s="16">
        <f>+BB21</f>
        <v>0</v>
      </c>
      <c r="U55" s="22"/>
      <c r="V55" s="22"/>
      <c r="W55" s="182">
        <f>+BB24</f>
        <v>0</v>
      </c>
      <c r="X55" s="55">
        <f>+BB25</f>
        <v>0</v>
      </c>
      <c r="Y55" s="166">
        <f>+BB26</f>
        <v>0</v>
      </c>
      <c r="Z55" s="55">
        <f>+BB27</f>
        <v>0</v>
      </c>
      <c r="AA55" s="161">
        <f>+BB28</f>
        <v>0</v>
      </c>
      <c r="AB55" s="55">
        <f>+BB29</f>
        <v>0</v>
      </c>
      <c r="AC55" s="198">
        <f>+BB30</f>
        <v>0</v>
      </c>
      <c r="AD55" s="22"/>
      <c r="AE55" s="22"/>
      <c r="AF55" s="182">
        <f>+BB33</f>
        <v>0</v>
      </c>
      <c r="AG55" s="16">
        <f>+BB34</f>
        <v>0</v>
      </c>
      <c r="AH55" s="22"/>
      <c r="AI55" s="22"/>
      <c r="AJ55" s="182">
        <f>+BB37</f>
        <v>0</v>
      </c>
      <c r="AK55" s="55">
        <f>+BB38</f>
        <v>0</v>
      </c>
      <c r="AL55" s="166">
        <f>+BB39</f>
        <v>0</v>
      </c>
      <c r="AM55" s="55">
        <f>+BB40</f>
        <v>0</v>
      </c>
      <c r="AN55" s="161">
        <f>+BB41</f>
        <v>0</v>
      </c>
      <c r="AO55" s="55">
        <f>+BB42</f>
        <v>0</v>
      </c>
      <c r="AP55" s="207">
        <f>+BB43</f>
        <v>0</v>
      </c>
      <c r="AQ55" s="150">
        <f>+BB44</f>
        <v>0</v>
      </c>
      <c r="AR55" s="209">
        <f>+BB45</f>
        <v>0</v>
      </c>
      <c r="AS55" s="150">
        <f>+BB46</f>
        <v>0</v>
      </c>
      <c r="AT55" s="211">
        <f>+BB47</f>
        <v>0</v>
      </c>
      <c r="AU55" s="150">
        <f>+BB48</f>
        <v>0</v>
      </c>
      <c r="AV55" s="201">
        <f>+BB49</f>
        <v>0</v>
      </c>
      <c r="AW55" s="22"/>
      <c r="AX55" s="22"/>
      <c r="AY55" s="270">
        <f>+BB52</f>
        <v>0</v>
      </c>
      <c r="AZ55" s="22"/>
      <c r="BA55" s="156"/>
      <c r="BB55" s="156"/>
      <c r="BC55" s="156"/>
      <c r="BD55" s="156"/>
      <c r="BE55" s="156"/>
      <c r="BF55" s="156"/>
      <c r="BG55" s="156"/>
      <c r="BH55" s="156"/>
      <c r="BI55" s="22"/>
      <c r="BJ55" s="22"/>
      <c r="BK55" s="15">
        <f>COUNTIFS(SEGUIMIENTO!$Y$23:$Y$122,"I-U",SEGUIMIENTO!$AA$23:$AA$122,"JAC")</f>
        <v>0</v>
      </c>
      <c r="BL55" s="55">
        <f>COUNTIFS(SEGUIMIENTO!$Y$23:$Y$122,"I-U",SEGUIMIENTO!$AA$23:$AA$122,"JAL")</f>
        <v>0</v>
      </c>
      <c r="BM55" s="55">
        <f>COUNTIFS(SEGUIMIENTO!$Y$23:$Y$122,"I-U",SEGUIMIENTO!$AA$23:$AA$122,"AMB")</f>
        <v>0</v>
      </c>
      <c r="BN55" s="55">
        <f>COUNTIFS(SEGUIMIENTO!$Y$23:$Y$122,"I-U",SEGUIMIENTO!$AA$23:$AA$122,"DDHH")</f>
        <v>0</v>
      </c>
      <c r="BO55" s="55">
        <f>COUNTIFS(SEGUIMIENTO!$Y$23:$Y$122,"I-U",SEGUIMIENTO!$AA$23:$AA$122,"SIND")</f>
        <v>0</v>
      </c>
      <c r="BP55" s="55">
        <f>COUNTIFS(SEGUIMIENTO!$Y$23:$Y$122,"I-U",SEGUIMIENTO!$AA$23:$AA$122,"REL")</f>
        <v>0</v>
      </c>
      <c r="BQ55" s="55">
        <f>COUNTIFS(SEGUIMIENTO!$Y$23:$Y$122,"I-U",SEGUIMIENTO!$AA$23:$AA$122,"1")</f>
        <v>0</v>
      </c>
      <c r="BR55" s="16">
        <f>COUNTIFS(SEGUIMIENTO!$Y$23:$Y$122,"I-U",SEGUIMIENTO!$AA$23:$AA$122,"N/A")</f>
        <v>0</v>
      </c>
      <c r="BS55" s="22"/>
      <c r="BT55" s="22"/>
      <c r="BU55" s="15">
        <f>COUNTIFS(SEGUIMIENTO!$Y$23:$Y$122,"I-U",SEGUIMIENTO!$AB$23:$AB$122,"RUR")</f>
        <v>0</v>
      </c>
      <c r="BV55" s="16">
        <f>COUNTIFS(SEGUIMIENTO!$Y$23:$Y$122,"I-U",SEGUIMIENTO!$AB$23:$AB$122,"URB")</f>
        <v>0</v>
      </c>
      <c r="BW55" s="22"/>
      <c r="BX55" s="22"/>
      <c r="BY55" s="15">
        <f>COUNTIFS(SEGUIMIENTO!$Y$23:$Y$122,"I-U",SEGUIMIENTO!$AD$23:$AD$122,"1")</f>
        <v>0</v>
      </c>
      <c r="BZ55" s="55">
        <f>COUNTIFS(SEGUIMIENTO!$Y$23:$Y$122,"I-U",SEGUIMIENTO!$AD$23:$AD$122,"2")</f>
        <v>0</v>
      </c>
      <c r="CA55" s="55">
        <f>COUNTIFS(SEGUIMIENTO!$Y$23:$Y$122,"I-U",SEGUIMIENTO!$AD$23:$AD$122,"3")</f>
        <v>0</v>
      </c>
      <c r="CB55" s="55">
        <f>COUNTIFS(SEGUIMIENTO!$Y$23:$Y$122,"I-I-U",SEGUIMIENTO!$AD$23:$AD$122,"4")</f>
        <v>0</v>
      </c>
      <c r="CC55" s="55">
        <f>COUNTIFS(SEGUIMIENTO!$Y$23:$Y$122,"I-I-U",SEGUIMIENTO!$AD$23:$AD$122,"5")</f>
        <v>0</v>
      </c>
      <c r="CD55" s="55">
        <f>COUNTIFS(SEGUIMIENTO!$Y$23:$Y$122,"I-I-U",SEGUIMIENTO!$AD$23:$AD$122,"6")</f>
        <v>0</v>
      </c>
      <c r="CE55" s="55">
        <f>COUNTIFS(SEGUIMIENTO!$Y$23:$Y$122,"I-I-U",SEGUIMIENTO!$AD$23:$AD$122,"7")</f>
        <v>0</v>
      </c>
      <c r="CF55" s="55">
        <f>COUNTIFS(SEGUIMIENTO!$Y$23:$Y$122,"I-I-U",SEGUIMIENTO!$AD$23:$AD$122,"8")</f>
        <v>0</v>
      </c>
      <c r="CG55" s="16">
        <f>COUNTIFS(SEGUIMIENTO!$Y$23:$Y$122,"I-I-U",SEGUIMIENTO!$AD$23:$AD$122,"9")</f>
        <v>0</v>
      </c>
      <c r="CH55" s="22"/>
      <c r="CI55" s="22"/>
      <c r="CJ55" s="15">
        <f>COUNTIFS(SEGUIMIENTO!$Y$23:$Y$122,"I-U",SEGUIMIENTO!$Z$23:$Z$122,"1")</f>
        <v>0</v>
      </c>
      <c r="CK55" s="55">
        <f>COUNTIFS(SEGUIMIENTO!$Y$23:$Y$122,"I-U",SEGUIMIENTO!$Z$23:$Z$122,"2")</f>
        <v>0</v>
      </c>
      <c r="CL55" s="55">
        <f>COUNTIFS(SEGUIMIENTO!$Y$23:$Y$122,"I-U",SEGUIMIENTO!$Z$23:$Z$122,"3")</f>
        <v>0</v>
      </c>
      <c r="CM55" s="55">
        <f>COUNTIFS(SEGUIMIENTO!$Y$23:$Y$122,"I-I-U",SEGUIMIENTO!$Z$23:$Z$122,"4")</f>
        <v>0</v>
      </c>
      <c r="CN55" s="55">
        <f>COUNTIFS(SEGUIMIENTO!$Y$23:$Y$122,"I-I-U",SEGUIMIENTO!$Z$23:$Z$122,"5")</f>
        <v>0</v>
      </c>
      <c r="CO55" s="55">
        <f>COUNTIFS(SEGUIMIENTO!$Y$23:$Y$122,"I-I-U",SEGUIMIENTO!$Z$23:$Z$122,"6")</f>
        <v>0</v>
      </c>
      <c r="CP55" s="55">
        <f>COUNTIFS(SEGUIMIENTO!$Y$23:$Y$122,"I-I-U",SEGUIMIENTO!$Z$23:$Z$122,"7")</f>
        <v>0</v>
      </c>
      <c r="CQ55" s="55">
        <f>COUNTIFS(SEGUIMIENTO!$Y$23:$Y$122,"I-I-U",SEGUIMIENTO!$Z$23:$Z$122,"8")</f>
        <v>0</v>
      </c>
      <c r="CR55" s="55">
        <f>COUNTIFS(SEGUIMIENTO!$Y$23:$Y$122,"I-I-U",SEGUIMIENTO!$Z$23:$Z$122,"9")</f>
        <v>0</v>
      </c>
      <c r="CS55" s="55">
        <f>COUNTIFS(SEGUIMIENTO!$Y$23:$Y$122,"I-I-U",SEGUIMIENTO!$Z$23:$Z$122,"10")</f>
        <v>0</v>
      </c>
      <c r="CT55" s="55">
        <f>COUNTIFS(SEGUIMIENTO!$Y$23:$Y$122,"I-I-U",SEGUIMIENTO!$Z$23:$Z$122,"11")</f>
        <v>0</v>
      </c>
      <c r="CU55" s="55">
        <f>COUNTIFS(SEGUIMIENTO!$Y$23:$Y$122,"I-I-U",SEGUIMIENTO!$Z$23:$Z$122,"12")</f>
        <v>0</v>
      </c>
      <c r="CV55" s="55">
        <f>COUNTIFS(SEGUIMIENTO!$Y$23:$Y$122,"I-I-U",SEGUIMIENTO!$Z$23:$Z$122,"13")</f>
        <v>0</v>
      </c>
      <c r="CW55" s="55">
        <f>COUNTIFS(SEGUIMIENTO!$Y$23:$Y$122,"I-I-U",SEGUIMIENTO!$Z$23:$Z$122,"14")</f>
        <v>0</v>
      </c>
      <c r="CX55" s="55">
        <f>COUNTIFS(SEGUIMIENTO!$Y$23:$Y$122,"I-I-U",SEGUIMIENTO!$Z$23:$Z$122,"15")</f>
        <v>0</v>
      </c>
      <c r="CY55" s="55">
        <f>COUNTIFS(SEGUIMIENTO!$Y$23:$Y$122,"I-I-U",SEGUIMIENTO!$Z$23:$Z$122,"16")</f>
        <v>0</v>
      </c>
      <c r="CZ55" s="16">
        <f>COUNTIFS(SEGUIMIENTO!$Y$23:$Y$122,"I-I-U",SEGUIMIENTO!$Z$23:$Z$122,"N/A")</f>
        <v>0</v>
      </c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10"/>
      <c r="DL55" s="5"/>
      <c r="DM55" s="5"/>
      <c r="DN55" s="5"/>
      <c r="DO55" s="5"/>
      <c r="DP55" s="5"/>
      <c r="DQ55" s="5"/>
      <c r="DR55" s="5"/>
      <c r="DS55" s="5"/>
    </row>
    <row r="56" spans="2:140 16310:16310" s="11" customFormat="1" ht="12.45" customHeight="1" x14ac:dyDescent="0.2">
      <c r="B56" s="112"/>
      <c r="C56" s="115"/>
      <c r="D56" s="297" t="s">
        <v>86</v>
      </c>
      <c r="E56" s="305"/>
      <c r="F56" s="305"/>
      <c r="G56" s="305"/>
      <c r="H56" s="305"/>
      <c r="I56" s="305"/>
      <c r="J56" s="305"/>
      <c r="K56" s="305"/>
      <c r="L56" s="305"/>
      <c r="M56" s="165">
        <f>COUNTIF(SEGUIMIENTO!$Y$23:$Y$122,"I-I")</f>
        <v>0</v>
      </c>
      <c r="N56" s="22"/>
      <c r="O56" s="182">
        <f>+BC16</f>
        <v>0</v>
      </c>
      <c r="P56" s="55">
        <f>+BC17</f>
        <v>0</v>
      </c>
      <c r="Q56" s="166">
        <f>+BC18</f>
        <v>0</v>
      </c>
      <c r="R56" s="55">
        <f>+BC19</f>
        <v>0</v>
      </c>
      <c r="S56" s="161">
        <f>+BC20</f>
        <v>0</v>
      </c>
      <c r="T56" s="16">
        <f>+BC21</f>
        <v>0</v>
      </c>
      <c r="U56" s="22"/>
      <c r="V56" s="22"/>
      <c r="W56" s="182">
        <f>+BC24</f>
        <v>0</v>
      </c>
      <c r="X56" s="55">
        <f>+BC25</f>
        <v>0</v>
      </c>
      <c r="Y56" s="166">
        <f>+BC26</f>
        <v>0</v>
      </c>
      <c r="Z56" s="55">
        <f>+BC27</f>
        <v>0</v>
      </c>
      <c r="AA56" s="161">
        <f>+BC28</f>
        <v>0</v>
      </c>
      <c r="AB56" s="55">
        <f>+BC29</f>
        <v>0</v>
      </c>
      <c r="AC56" s="198">
        <f>+BC30</f>
        <v>0</v>
      </c>
      <c r="AD56" s="22"/>
      <c r="AE56" s="22"/>
      <c r="AF56" s="182">
        <f>+BC33</f>
        <v>0</v>
      </c>
      <c r="AG56" s="16">
        <f>+BC34</f>
        <v>0</v>
      </c>
      <c r="AH56" s="22"/>
      <c r="AI56" s="22"/>
      <c r="AJ56" s="182">
        <f>+BC37</f>
        <v>0</v>
      </c>
      <c r="AK56" s="55">
        <f>+BC38</f>
        <v>0</v>
      </c>
      <c r="AL56" s="166">
        <f>+BC39</f>
        <v>0</v>
      </c>
      <c r="AM56" s="55">
        <f>+BC40</f>
        <v>0</v>
      </c>
      <c r="AN56" s="161">
        <f>+BC41</f>
        <v>0</v>
      </c>
      <c r="AO56" s="55">
        <f>+BC42</f>
        <v>0</v>
      </c>
      <c r="AP56" s="207">
        <f>+BC43</f>
        <v>0</v>
      </c>
      <c r="AQ56" s="150">
        <f>+BC44</f>
        <v>0</v>
      </c>
      <c r="AR56" s="209">
        <f>+BC45</f>
        <v>0</v>
      </c>
      <c r="AS56" s="150">
        <f>+BC46</f>
        <v>0</v>
      </c>
      <c r="AT56" s="211">
        <f>+BC47</f>
        <v>0</v>
      </c>
      <c r="AU56" s="150">
        <f>+BC48</f>
        <v>0</v>
      </c>
      <c r="AV56" s="201">
        <f>+BC49</f>
        <v>0</v>
      </c>
      <c r="AW56" s="22"/>
      <c r="AX56" s="22"/>
      <c r="AY56" s="270">
        <f>+BC52</f>
        <v>0</v>
      </c>
      <c r="AZ56" s="22"/>
      <c r="BA56" s="156"/>
      <c r="BB56" s="156"/>
      <c r="BC56" s="156"/>
      <c r="BD56" s="156"/>
      <c r="BE56" s="156"/>
      <c r="BF56" s="156"/>
      <c r="BG56" s="156"/>
      <c r="BH56" s="156"/>
      <c r="BI56" s="22"/>
      <c r="BJ56" s="22"/>
      <c r="BK56" s="164">
        <f>COUNTIFS(SEGUIMIENTO!$Y$23:$Y$122,"I-I",SEGUIMIENTO!$AA$23:$AA$122,"JAC")</f>
        <v>0</v>
      </c>
      <c r="BL56" s="166">
        <f>COUNTIFS(SEGUIMIENTO!$Y$23:$Y$122,"I-I",SEGUIMIENTO!$AA$23:$AA$122,"JAL")</f>
        <v>0</v>
      </c>
      <c r="BM56" s="166">
        <f>COUNTIFS(SEGUIMIENTO!$Y$23:$Y$122,"I-I",SEGUIMIENTO!$AA$23:$AA$122,"AMB")</f>
        <v>0</v>
      </c>
      <c r="BN56" s="166">
        <f>COUNTIFS(SEGUIMIENTO!$Y$23:$Y$122,"I-I",SEGUIMIENTO!$AA$23:$AA$122,"DDHH")</f>
        <v>0</v>
      </c>
      <c r="BO56" s="166">
        <f>COUNTIFS(SEGUIMIENTO!$Y$23:$Y$122,"I-I",SEGUIMIENTO!$AA$23:$AA$122,"SIND")</f>
        <v>0</v>
      </c>
      <c r="BP56" s="166">
        <f>COUNTIFS(SEGUIMIENTO!$Y$23:$Y$122,"I-I",SEGUIMIENTO!$AA$23:$AA$122,"REL")</f>
        <v>0</v>
      </c>
      <c r="BQ56" s="166">
        <f>COUNTIFS(SEGUIMIENTO!$Y$23:$Y$122,"I-I",SEGUIMIENTO!$AA$23:$AA$122,"1")</f>
        <v>0</v>
      </c>
      <c r="BR56" s="165">
        <f>COUNTIFS(SEGUIMIENTO!$Y$23:$Y$122,"I-I",SEGUIMIENTO!$AA$23:$AA$122,"N/A")</f>
        <v>0</v>
      </c>
      <c r="BS56" s="22"/>
      <c r="BT56" s="22"/>
      <c r="BU56" s="164">
        <f>COUNTIFS(SEGUIMIENTO!$Y$23:$Y$122,"I-I",SEGUIMIENTO!$AB$23:$AB$122,"RUR")</f>
        <v>0</v>
      </c>
      <c r="BV56" s="165">
        <f>COUNTIFS(SEGUIMIENTO!$Y$23:$Y$122,"I-I",SEGUIMIENTO!$AB$23:$AB$122,"URB")</f>
        <v>0</v>
      </c>
      <c r="BW56" s="22"/>
      <c r="BX56" s="22"/>
      <c r="BY56" s="164">
        <f>COUNTIFS(SEGUIMIENTO!$Y$23:$Y$122,"I-I",SEGUIMIENTO!$AD$23:$AD$122,"1")</f>
        <v>0</v>
      </c>
      <c r="BZ56" s="166">
        <f>COUNTIFS(SEGUIMIENTO!$Y$23:$Y$122,"I-I",SEGUIMIENTO!$AD$23:$AD$122,"2")</f>
        <v>0</v>
      </c>
      <c r="CA56" s="166">
        <f>COUNTIFS(SEGUIMIENTO!$Y$23:$Y$122,"I-I",SEGUIMIENTO!$AD$23:$AD$122,"3")</f>
        <v>0</v>
      </c>
      <c r="CB56" s="166">
        <f>COUNTIFS(SEGUIMIENTO!$Y$23:$Y$122,"I-I",SEGUIMIENTO!$AD$23:$AD$122,"4")</f>
        <v>0</v>
      </c>
      <c r="CC56" s="166">
        <f>COUNTIFS(SEGUIMIENTO!$Y$23:$Y$122,"I-I",SEGUIMIENTO!$AD$23:$AD$122,"5")</f>
        <v>0</v>
      </c>
      <c r="CD56" s="166">
        <f>COUNTIFS(SEGUIMIENTO!$Y$23:$Y$122,"I-I",SEGUIMIENTO!$AD$23:$AD$122,"6")</f>
        <v>0</v>
      </c>
      <c r="CE56" s="166">
        <f>COUNTIFS(SEGUIMIENTO!$Y$23:$Y$122,"I-I",SEGUIMIENTO!$AD$23:$AD$122,"7")</f>
        <v>0</v>
      </c>
      <c r="CF56" s="166">
        <f>COUNTIFS(SEGUIMIENTO!$Y$23:$Y$122,"I-I",SEGUIMIENTO!$AD$23:$AD$122,"8")</f>
        <v>0</v>
      </c>
      <c r="CG56" s="165">
        <f>COUNTIFS(SEGUIMIENTO!$Y$23:$Y$122,"I-I",SEGUIMIENTO!$AD$23:$AD$122,"9")</f>
        <v>0</v>
      </c>
      <c r="CH56" s="22"/>
      <c r="CI56" s="22"/>
      <c r="CJ56" s="164">
        <f>COUNTIFS(SEGUIMIENTO!$Y$23:$Y$122,"I-I",SEGUIMIENTO!$Z$23:$Z$122,"1")</f>
        <v>0</v>
      </c>
      <c r="CK56" s="166">
        <f>COUNTIFS(SEGUIMIENTO!$Y$23:$Y$122,"I-I",SEGUIMIENTO!$Z$23:$Z$122,"2")</f>
        <v>0</v>
      </c>
      <c r="CL56" s="166">
        <f>COUNTIFS(SEGUIMIENTO!$Y$23:$Y$122,"I-I",SEGUIMIENTO!$Z$23:$Z$122,"3")</f>
        <v>0</v>
      </c>
      <c r="CM56" s="166">
        <f>COUNTIFS(SEGUIMIENTO!$Y$23:$Y$122,"I-I",SEGUIMIENTO!$Z$23:$Z$122,"4")</f>
        <v>0</v>
      </c>
      <c r="CN56" s="166">
        <f>COUNTIFS(SEGUIMIENTO!$Y$23:$Y$122,"I-I",SEGUIMIENTO!$Z$23:$Z$122,"5")</f>
        <v>0</v>
      </c>
      <c r="CO56" s="166">
        <f>COUNTIFS(SEGUIMIENTO!$Y$23:$Y$122,"I-I",SEGUIMIENTO!$Z$23:$Z$122,"6")</f>
        <v>0</v>
      </c>
      <c r="CP56" s="166">
        <f>COUNTIFS(SEGUIMIENTO!$Y$23:$Y$122,"I-I",SEGUIMIENTO!$Z$23:$Z$122,"7")</f>
        <v>0</v>
      </c>
      <c r="CQ56" s="166">
        <f>COUNTIFS(SEGUIMIENTO!$Y$23:$Y$122,"I-I",SEGUIMIENTO!$Z$23:$Z$122,"8")</f>
        <v>0</v>
      </c>
      <c r="CR56" s="166">
        <f>COUNTIFS(SEGUIMIENTO!$Y$23:$Y$122,"I-I",SEGUIMIENTO!$Z$23:$Z$122,"9")</f>
        <v>0</v>
      </c>
      <c r="CS56" s="166">
        <f>COUNTIFS(SEGUIMIENTO!$Y$23:$Y$122,"I-I",SEGUIMIENTO!$Z$23:$Z$122,"10")</f>
        <v>0</v>
      </c>
      <c r="CT56" s="166">
        <f>COUNTIFS(SEGUIMIENTO!$Y$23:$Y$122,"I-I",SEGUIMIENTO!$Z$23:$Z$122,"11")</f>
        <v>0</v>
      </c>
      <c r="CU56" s="166">
        <f>COUNTIFS(SEGUIMIENTO!$Y$23:$Y$122,"I-I",SEGUIMIENTO!$Z$23:$Z$122,"12")</f>
        <v>0</v>
      </c>
      <c r="CV56" s="166">
        <f>COUNTIFS(SEGUIMIENTO!$Y$23:$Y$122,"I-I",SEGUIMIENTO!$Z$23:$Z$122,"13")</f>
        <v>0</v>
      </c>
      <c r="CW56" s="166">
        <f>COUNTIFS(SEGUIMIENTO!$Y$23:$Y$122,"I-I",SEGUIMIENTO!$Z$23:$Z$122,"14")</f>
        <v>0</v>
      </c>
      <c r="CX56" s="166">
        <f>COUNTIFS(SEGUIMIENTO!$Y$23:$Y$122,"I-I",SEGUIMIENTO!$Z$23:$Z$122,"15")</f>
        <v>0</v>
      </c>
      <c r="CY56" s="166">
        <f>COUNTIFS(SEGUIMIENTO!$Y$23:$Y$122,"I-I",SEGUIMIENTO!$Z$23:$Z$122,"16")</f>
        <v>0</v>
      </c>
      <c r="CZ56" s="165">
        <f>COUNTIFS(SEGUIMIENTO!$Y$23:$Y$122,"I-I",SEGUIMIENTO!$Z$23:$Z$122,"N/A")</f>
        <v>0</v>
      </c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10"/>
      <c r="DL56" s="5"/>
      <c r="DM56" s="5"/>
      <c r="DN56" s="5"/>
      <c r="DO56" s="5"/>
      <c r="DP56" s="5"/>
      <c r="DQ56" s="5"/>
      <c r="DR56" s="5"/>
      <c r="DS56" s="5"/>
    </row>
    <row r="57" spans="2:140 16310:16310" s="11" customFormat="1" ht="12.45" customHeight="1" x14ac:dyDescent="0.2">
      <c r="B57" s="112"/>
      <c r="C57" s="115"/>
      <c r="D57" s="85" t="s">
        <v>87</v>
      </c>
      <c r="E57" s="80"/>
      <c r="F57" s="80"/>
      <c r="G57" s="80"/>
      <c r="H57" s="80"/>
      <c r="I57" s="80"/>
      <c r="J57" s="80"/>
      <c r="K57" s="80"/>
      <c r="L57" s="80"/>
      <c r="M57" s="16">
        <f>COUNTIF(SEGUIMIENTO!$Y$23:$Y$122,"I-K")</f>
        <v>0</v>
      </c>
      <c r="N57" s="22"/>
      <c r="O57" s="182">
        <f>+BD16</f>
        <v>0</v>
      </c>
      <c r="P57" s="55">
        <f>+BD17</f>
        <v>0</v>
      </c>
      <c r="Q57" s="166">
        <f>+BD18</f>
        <v>0</v>
      </c>
      <c r="R57" s="55">
        <f>+BD19</f>
        <v>0</v>
      </c>
      <c r="S57" s="161">
        <f>+BD20</f>
        <v>0</v>
      </c>
      <c r="T57" s="16">
        <f>+BD21</f>
        <v>0</v>
      </c>
      <c r="U57" s="22"/>
      <c r="V57" s="22"/>
      <c r="W57" s="182">
        <f>+BD24</f>
        <v>0</v>
      </c>
      <c r="X57" s="55">
        <f>+BD25</f>
        <v>0</v>
      </c>
      <c r="Y57" s="166">
        <f>+BD26</f>
        <v>0</v>
      </c>
      <c r="Z57" s="55">
        <f>+BD27</f>
        <v>0</v>
      </c>
      <c r="AA57" s="161">
        <f>+BD28</f>
        <v>0</v>
      </c>
      <c r="AB57" s="55">
        <f>+BD29</f>
        <v>0</v>
      </c>
      <c r="AC57" s="198">
        <f>+BD30</f>
        <v>0</v>
      </c>
      <c r="AD57" s="22"/>
      <c r="AE57" s="22"/>
      <c r="AF57" s="182">
        <f>+BD33</f>
        <v>0</v>
      </c>
      <c r="AG57" s="16">
        <f>+BD34</f>
        <v>0</v>
      </c>
      <c r="AH57" s="22"/>
      <c r="AI57" s="22"/>
      <c r="AJ57" s="182">
        <f>+BD37</f>
        <v>0</v>
      </c>
      <c r="AK57" s="55">
        <f>+BD38</f>
        <v>0</v>
      </c>
      <c r="AL57" s="166">
        <f>+BD39</f>
        <v>0</v>
      </c>
      <c r="AM57" s="55">
        <f>+BD40</f>
        <v>0</v>
      </c>
      <c r="AN57" s="161">
        <f>+BD41</f>
        <v>0</v>
      </c>
      <c r="AO57" s="55">
        <f>+BD42</f>
        <v>0</v>
      </c>
      <c r="AP57" s="207">
        <f>+BD43</f>
        <v>0</v>
      </c>
      <c r="AQ57" s="150">
        <f>+BD44</f>
        <v>0</v>
      </c>
      <c r="AR57" s="209">
        <f>+BD45</f>
        <v>0</v>
      </c>
      <c r="AS57" s="150">
        <f>+BD46</f>
        <v>0</v>
      </c>
      <c r="AT57" s="211">
        <f>+BD47</f>
        <v>0</v>
      </c>
      <c r="AU57" s="150">
        <f>+BD48</f>
        <v>0</v>
      </c>
      <c r="AV57" s="201">
        <f>+BD49</f>
        <v>0</v>
      </c>
      <c r="AW57" s="22"/>
      <c r="AX57" s="22"/>
      <c r="AY57" s="270">
        <f>+BD52</f>
        <v>0</v>
      </c>
      <c r="AZ57" s="22"/>
      <c r="BA57" s="156"/>
      <c r="BB57" s="156"/>
      <c r="BC57" s="156"/>
      <c r="BD57" s="156"/>
      <c r="BE57" s="156"/>
      <c r="BF57" s="156"/>
      <c r="BG57" s="156"/>
      <c r="BH57" s="156"/>
      <c r="BI57" s="22"/>
      <c r="BJ57" s="22"/>
      <c r="BK57" s="15">
        <f>COUNTIFS(SEGUIMIENTO!$Y$23:$Y$122,"I-K",SEGUIMIENTO!$AA$23:$AA$122,"JAC")</f>
        <v>0</v>
      </c>
      <c r="BL57" s="55">
        <f>COUNTIFS(SEGUIMIENTO!$Y$23:$Y$122,"I-K",SEGUIMIENTO!$AA$23:$AA$122,"JAL")</f>
        <v>0</v>
      </c>
      <c r="BM57" s="55">
        <f>COUNTIFS(SEGUIMIENTO!$Y$23:$Y$122,"I-K",SEGUIMIENTO!$AA$23:$AA$122,"AMB")</f>
        <v>0</v>
      </c>
      <c r="BN57" s="55">
        <f>COUNTIFS(SEGUIMIENTO!$Y$23:$Y$122,"I-K",SEGUIMIENTO!$AA$23:$AA$122,"DDHH")</f>
        <v>0</v>
      </c>
      <c r="BO57" s="55">
        <f>COUNTIFS(SEGUIMIENTO!$Y$23:$Y$122,"I-K",SEGUIMIENTO!$AA$23:$AA$122,"SIND")</f>
        <v>0</v>
      </c>
      <c r="BP57" s="55">
        <f>COUNTIFS(SEGUIMIENTO!$Y$23:$Y$122,"I-K",SEGUIMIENTO!$AA$23:$AA$122,"REL")</f>
        <v>0</v>
      </c>
      <c r="BQ57" s="55">
        <f>COUNTIFS(SEGUIMIENTO!$Y$23:$Y$122,"I-K",SEGUIMIENTO!$AA$23:$AA$122,"1")</f>
        <v>0</v>
      </c>
      <c r="BR57" s="16">
        <f>COUNTIFS(SEGUIMIENTO!$Y$23:$Y$122,"I-K",SEGUIMIENTO!$AA$23:$AA$122,"N/A")</f>
        <v>0</v>
      </c>
      <c r="BS57" s="22"/>
      <c r="BT57" s="22"/>
      <c r="BU57" s="15">
        <f>COUNTIFS(SEGUIMIENTO!$Y$23:$Y$122,"I-K",SEGUIMIENTO!$AB$23:$AB$122,"RUR")</f>
        <v>0</v>
      </c>
      <c r="BV57" s="16">
        <f>COUNTIFS(SEGUIMIENTO!$Y$23:$Y$122,"I-K",SEGUIMIENTO!$AB$23:$AB$122,"URB")</f>
        <v>0</v>
      </c>
      <c r="BW57" s="22"/>
      <c r="BX57" s="22"/>
      <c r="BY57" s="15">
        <f>COUNTIFS(SEGUIMIENTO!$Y$23:$Y$122,"I-K",SEGUIMIENTO!$AD$23:$AD$122,"1")</f>
        <v>0</v>
      </c>
      <c r="BZ57" s="55">
        <f>COUNTIFS(SEGUIMIENTO!$Y$23:$Y$122,"I-K",SEGUIMIENTO!$AD$23:$AD$122,"2")</f>
        <v>0</v>
      </c>
      <c r="CA57" s="55">
        <f>COUNTIFS(SEGUIMIENTO!$Y$23:$Y$122,"I-K",SEGUIMIENTO!$AD$23:$AD$122,"3")</f>
        <v>0</v>
      </c>
      <c r="CB57" s="55">
        <f>COUNTIFS(SEGUIMIENTO!$Y$23:$Y$122,"I-K",SEGUIMIENTO!$AD$23:$AD$122,"4")</f>
        <v>0</v>
      </c>
      <c r="CC57" s="55">
        <f>COUNTIFS(SEGUIMIENTO!$Y$23:$Y$122,"I-K",SEGUIMIENTO!$AD$23:$AD$122,"5")</f>
        <v>0</v>
      </c>
      <c r="CD57" s="55">
        <f>COUNTIFS(SEGUIMIENTO!$Y$23:$Y$122,"I-K",SEGUIMIENTO!$AD$23:$AD$122,"6")</f>
        <v>0</v>
      </c>
      <c r="CE57" s="55">
        <f>COUNTIFS(SEGUIMIENTO!$Y$23:$Y$122,"I-K",SEGUIMIENTO!$AD$23:$AD$122,"7")</f>
        <v>0</v>
      </c>
      <c r="CF57" s="55">
        <f>COUNTIFS(SEGUIMIENTO!$Y$23:$Y$122,"I-K",SEGUIMIENTO!$AD$23:$AD$122,"8")</f>
        <v>0</v>
      </c>
      <c r="CG57" s="16">
        <f>COUNTIFS(SEGUIMIENTO!$Y$23:$Y$122,"I-K",SEGUIMIENTO!$AD$23:$AD$122,"9")</f>
        <v>0</v>
      </c>
      <c r="CH57" s="22"/>
      <c r="CI57" s="22"/>
      <c r="CJ57" s="15">
        <f>COUNTIFS(SEGUIMIENTO!$Y$23:$Y$122,"I-K",SEGUIMIENTO!$Z$23:$Z$122,"1")</f>
        <v>0</v>
      </c>
      <c r="CK57" s="55">
        <f>COUNTIFS(SEGUIMIENTO!$Y$23:$Y$122,"I-K",SEGUIMIENTO!$Z$23:$Z$122,"2")</f>
        <v>0</v>
      </c>
      <c r="CL57" s="55">
        <f>COUNTIFS(SEGUIMIENTO!$Y$23:$Y$122,"I-K",SEGUIMIENTO!$Z$23:$Z$122,"3")</f>
        <v>0</v>
      </c>
      <c r="CM57" s="55">
        <f>COUNTIFS(SEGUIMIENTO!$Y$23:$Y$122,"I-K",SEGUIMIENTO!$Z$23:$Z$122,"4")</f>
        <v>0</v>
      </c>
      <c r="CN57" s="55">
        <f>COUNTIFS(SEGUIMIENTO!$Y$23:$Y$122,"I-K",SEGUIMIENTO!$Z$23:$Z$122,"5")</f>
        <v>0</v>
      </c>
      <c r="CO57" s="55">
        <f>COUNTIFS(SEGUIMIENTO!$Y$23:$Y$122,"I-K",SEGUIMIENTO!$Z$23:$Z$122,"6")</f>
        <v>0</v>
      </c>
      <c r="CP57" s="55">
        <f>COUNTIFS(SEGUIMIENTO!$Y$23:$Y$122,"I-K",SEGUIMIENTO!$Z$23:$Z$122,"7")</f>
        <v>0</v>
      </c>
      <c r="CQ57" s="55">
        <f>COUNTIFS(SEGUIMIENTO!$Y$23:$Y$122,"I-K",SEGUIMIENTO!$Z$23:$Z$122,"8")</f>
        <v>0</v>
      </c>
      <c r="CR57" s="55">
        <f>COUNTIFS(SEGUIMIENTO!$Y$23:$Y$122,"I-K",SEGUIMIENTO!$Z$23:$Z$122,"9")</f>
        <v>0</v>
      </c>
      <c r="CS57" s="55">
        <f>COUNTIFS(SEGUIMIENTO!$Y$23:$Y$122,"I-K",SEGUIMIENTO!$Z$23:$Z$122,"10")</f>
        <v>0</v>
      </c>
      <c r="CT57" s="55">
        <f>COUNTIFS(SEGUIMIENTO!$Y$23:$Y$122,"I-K",SEGUIMIENTO!$Z$23:$Z$122,"11")</f>
        <v>0</v>
      </c>
      <c r="CU57" s="55">
        <f>COUNTIFS(SEGUIMIENTO!$Y$23:$Y$122,"I-K",SEGUIMIENTO!$Z$23:$Z$122,"12")</f>
        <v>0</v>
      </c>
      <c r="CV57" s="55">
        <f>COUNTIFS(SEGUIMIENTO!$Y$23:$Y$122,"I-K",SEGUIMIENTO!$Z$23:$Z$122,"13")</f>
        <v>0</v>
      </c>
      <c r="CW57" s="55">
        <f>COUNTIFS(SEGUIMIENTO!$Y$23:$Y$122,"I-K",SEGUIMIENTO!$Z$23:$Z$122,"14")</f>
        <v>0</v>
      </c>
      <c r="CX57" s="55">
        <f>COUNTIFS(SEGUIMIENTO!$Y$23:$Y$122,"I-K",SEGUIMIENTO!$Z$23:$Z$122,"15")</f>
        <v>0</v>
      </c>
      <c r="CY57" s="55">
        <f>COUNTIFS(SEGUIMIENTO!$Y$23:$Y$122,"I-K",SEGUIMIENTO!$Z$23:$Z$122,"16")</f>
        <v>0</v>
      </c>
      <c r="CZ57" s="16">
        <f>COUNTIFS(SEGUIMIENTO!$Y$23:$Y$122,"I-K",SEGUIMIENTO!$Z$23:$Z$122,"N/A")</f>
        <v>0</v>
      </c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10"/>
      <c r="DL57" s="5"/>
      <c r="DM57" s="5"/>
      <c r="DN57" s="5"/>
      <c r="DO57" s="5"/>
      <c r="DP57" s="5"/>
      <c r="DQ57" s="5"/>
      <c r="DR57" s="5"/>
      <c r="DS57" s="5"/>
    </row>
    <row r="58" spans="2:140 16310:16310" s="11" customFormat="1" ht="12.45" customHeight="1" x14ac:dyDescent="0.2">
      <c r="B58" s="112"/>
      <c r="C58" s="115"/>
      <c r="D58" s="298" t="s">
        <v>88</v>
      </c>
      <c r="E58" s="306"/>
      <c r="F58" s="306"/>
      <c r="G58" s="306"/>
      <c r="H58" s="306"/>
      <c r="I58" s="306"/>
      <c r="J58" s="306"/>
      <c r="K58" s="306"/>
      <c r="L58" s="306"/>
      <c r="M58" s="162">
        <f>COUNTIF(SEGUIMIENTO!$Y$23:$Y$122,"I-FD")</f>
        <v>0</v>
      </c>
      <c r="N58" s="22"/>
      <c r="O58" s="182">
        <f>+BE16</f>
        <v>0</v>
      </c>
      <c r="P58" s="55">
        <f>+BE17</f>
        <v>0</v>
      </c>
      <c r="Q58" s="166">
        <f>+BE18</f>
        <v>0</v>
      </c>
      <c r="R58" s="55">
        <f>+BE19</f>
        <v>0</v>
      </c>
      <c r="S58" s="161">
        <f>+BE20</f>
        <v>0</v>
      </c>
      <c r="T58" s="16">
        <f>+BE21</f>
        <v>0</v>
      </c>
      <c r="U58" s="22"/>
      <c r="V58" s="22"/>
      <c r="W58" s="182">
        <f>+BE24</f>
        <v>0</v>
      </c>
      <c r="X58" s="55">
        <f>+BE25</f>
        <v>0</v>
      </c>
      <c r="Y58" s="166">
        <f>+BE26</f>
        <v>0</v>
      </c>
      <c r="Z58" s="55">
        <f>+BE27</f>
        <v>0</v>
      </c>
      <c r="AA58" s="161">
        <f>+BE28</f>
        <v>0</v>
      </c>
      <c r="AB58" s="55">
        <f>+BE29</f>
        <v>0</v>
      </c>
      <c r="AC58" s="198">
        <f>+BE30</f>
        <v>0</v>
      </c>
      <c r="AD58" s="22"/>
      <c r="AE58" s="22"/>
      <c r="AF58" s="182">
        <f>+BE33</f>
        <v>0</v>
      </c>
      <c r="AG58" s="16">
        <f>+BE34</f>
        <v>0</v>
      </c>
      <c r="AH58" s="22"/>
      <c r="AI58" s="22"/>
      <c r="AJ58" s="182">
        <f>+BE37</f>
        <v>0</v>
      </c>
      <c r="AK58" s="55">
        <f>+BE38</f>
        <v>0</v>
      </c>
      <c r="AL58" s="166">
        <f>+BE39</f>
        <v>0</v>
      </c>
      <c r="AM58" s="55">
        <f>+BE40</f>
        <v>0</v>
      </c>
      <c r="AN58" s="161">
        <f>+BE41</f>
        <v>0</v>
      </c>
      <c r="AO58" s="55">
        <f>+BE42</f>
        <v>0</v>
      </c>
      <c r="AP58" s="207">
        <f>+BE43</f>
        <v>0</v>
      </c>
      <c r="AQ58" s="150">
        <f>+BE44</f>
        <v>0</v>
      </c>
      <c r="AR58" s="209">
        <f>+BE45</f>
        <v>0</v>
      </c>
      <c r="AS58" s="150">
        <f>+BE46</f>
        <v>0</v>
      </c>
      <c r="AT58" s="211">
        <f>+BE47</f>
        <v>0</v>
      </c>
      <c r="AU58" s="150">
        <f>+BE48</f>
        <v>0</v>
      </c>
      <c r="AV58" s="201">
        <f>+BE49</f>
        <v>0</v>
      </c>
      <c r="AW58" s="22"/>
      <c r="AX58" s="22"/>
      <c r="AY58" s="270">
        <f>+BE52</f>
        <v>0</v>
      </c>
      <c r="AZ58" s="22"/>
      <c r="BA58" s="156"/>
      <c r="BB58" s="156"/>
      <c r="BC58" s="156"/>
      <c r="BD58" s="156"/>
      <c r="BE58" s="156"/>
      <c r="BF58" s="156"/>
      <c r="BG58" s="156"/>
      <c r="BH58" s="156"/>
      <c r="BI58" s="22"/>
      <c r="BJ58" s="22"/>
      <c r="BK58" s="160">
        <f>COUNTIFS(SEGUIMIENTO!$Y$23:$Y$122,"I-FD",SEGUIMIENTO!$AA$23:$AA$122,"JAC")</f>
        <v>0</v>
      </c>
      <c r="BL58" s="161">
        <f>COUNTIFS(SEGUIMIENTO!$Y$23:$Y$122,"I-FD",SEGUIMIENTO!$AA$23:$AA$122,"JAL")</f>
        <v>0</v>
      </c>
      <c r="BM58" s="161">
        <f>COUNTIFS(SEGUIMIENTO!$Y$23:$Y$122,"I-FD",SEGUIMIENTO!$AA$23:$AA$122,"AMB")</f>
        <v>0</v>
      </c>
      <c r="BN58" s="161">
        <f>COUNTIFS(SEGUIMIENTO!$Y$23:$Y$122,"I-FD",SEGUIMIENTO!$AA$23:$AA$122,"DDHH")</f>
        <v>0</v>
      </c>
      <c r="BO58" s="161">
        <f>COUNTIFS(SEGUIMIENTO!$Y$23:$Y$122,"I-FD",SEGUIMIENTO!$AA$23:$AA$122,"SIND")</f>
        <v>0</v>
      </c>
      <c r="BP58" s="161">
        <f>COUNTIFS(SEGUIMIENTO!$Y$23:$Y$122,"I-FD",SEGUIMIENTO!$AA$23:$AA$122,"REL")</f>
        <v>0</v>
      </c>
      <c r="BQ58" s="161">
        <f>COUNTIFS(SEGUIMIENTO!$Y$23:$Y$122,"I-FD",SEGUIMIENTO!$AA$23:$AA$122,"1")</f>
        <v>0</v>
      </c>
      <c r="BR58" s="162">
        <f>COUNTIFS(SEGUIMIENTO!$Y$23:$Y$122,"I-FD",SEGUIMIENTO!$AA$23:$AA$122,"N/A")</f>
        <v>0</v>
      </c>
      <c r="BS58" s="22"/>
      <c r="BT58" s="22"/>
      <c r="BU58" s="160">
        <f>COUNTIFS(SEGUIMIENTO!$Y$23:$Y$122,"I-FD",SEGUIMIENTO!$AB$23:$AB$122,"RUR")</f>
        <v>0</v>
      </c>
      <c r="BV58" s="162">
        <f>COUNTIFS(SEGUIMIENTO!$Y$23:$Y$122,"I-FD",SEGUIMIENTO!$AB$23:$AB$122,"URB")</f>
        <v>0</v>
      </c>
      <c r="BW58" s="22"/>
      <c r="BX58" s="22"/>
      <c r="BY58" s="160">
        <f>COUNTIFS(SEGUIMIENTO!$Y$23:$Y$122,"I-FD",SEGUIMIENTO!$AD$23:$AD$122,"1")</f>
        <v>0</v>
      </c>
      <c r="BZ58" s="161">
        <f>COUNTIFS(SEGUIMIENTO!$Y$23:$Y$122,"I-FD",SEGUIMIENTO!$AD$23:$AD$122,"2")</f>
        <v>0</v>
      </c>
      <c r="CA58" s="161">
        <f>COUNTIFS(SEGUIMIENTO!$Y$23:$Y$122,"I-FD",SEGUIMIENTO!$AD$23:$AD$122,"3")</f>
        <v>0</v>
      </c>
      <c r="CB58" s="161">
        <f>COUNTIFS(SEGUIMIENTO!$Y$23:$Y$122,"I-FD",SEGUIMIENTO!$AD$23:$AD$122,"4")</f>
        <v>0</v>
      </c>
      <c r="CC58" s="161">
        <f>COUNTIFS(SEGUIMIENTO!$Y$23:$Y$122,"I-FD",SEGUIMIENTO!$AD$23:$AD$122,"5")</f>
        <v>0</v>
      </c>
      <c r="CD58" s="161">
        <f>COUNTIFS(SEGUIMIENTO!$Y$23:$Y$122,"I-FD",SEGUIMIENTO!$AD$23:$AD$122,"6")</f>
        <v>0</v>
      </c>
      <c r="CE58" s="161">
        <f>COUNTIFS(SEGUIMIENTO!$Y$23:$Y$122,"I-FD",SEGUIMIENTO!$AD$23:$AD$122,"7")</f>
        <v>0</v>
      </c>
      <c r="CF58" s="161">
        <f>COUNTIFS(SEGUIMIENTO!$Y$23:$Y$122,"I-FD",SEGUIMIENTO!$AD$23:$AD$122,"8")</f>
        <v>0</v>
      </c>
      <c r="CG58" s="162">
        <f>COUNTIFS(SEGUIMIENTO!$Y$23:$Y$122,"I-FD",SEGUIMIENTO!$AD$23:$AD$122,"9")</f>
        <v>0</v>
      </c>
      <c r="CH58" s="22"/>
      <c r="CI58" s="22"/>
      <c r="CJ58" s="160">
        <f>COUNTIFS(SEGUIMIENTO!$Y$23:$Y$122,"I-FD",SEGUIMIENTO!$Z$23:$Z$122,"1")</f>
        <v>0</v>
      </c>
      <c r="CK58" s="161">
        <f>COUNTIFS(SEGUIMIENTO!$Y$23:$Y$122,"I-FD",SEGUIMIENTO!$Z$23:$Z$122,"2")</f>
        <v>0</v>
      </c>
      <c r="CL58" s="161">
        <f>COUNTIFS(SEGUIMIENTO!$Y$23:$Y$122,"I-FD",SEGUIMIENTO!$Z$23:$Z$122,"3")</f>
        <v>0</v>
      </c>
      <c r="CM58" s="161">
        <f>COUNTIFS(SEGUIMIENTO!$Y$23:$Y$122,"I-FD",SEGUIMIENTO!$Z$23:$Z$122,"4")</f>
        <v>0</v>
      </c>
      <c r="CN58" s="161">
        <f>COUNTIFS(SEGUIMIENTO!$Y$23:$Y$122,"I-FD",SEGUIMIENTO!$Z$23:$Z$122,"5")</f>
        <v>0</v>
      </c>
      <c r="CO58" s="161">
        <f>COUNTIFS(SEGUIMIENTO!$Y$23:$Y$122,"I-FD",SEGUIMIENTO!$Z$23:$Z$122,"6")</f>
        <v>0</v>
      </c>
      <c r="CP58" s="161">
        <f>COUNTIFS(SEGUIMIENTO!$Y$23:$Y$122,"I-FD",SEGUIMIENTO!$Z$23:$Z$122,"7")</f>
        <v>0</v>
      </c>
      <c r="CQ58" s="161">
        <f>COUNTIFS(SEGUIMIENTO!$Y$23:$Y$122,"I-FD",SEGUIMIENTO!$Z$23:$Z$122,"8")</f>
        <v>0</v>
      </c>
      <c r="CR58" s="161">
        <f>COUNTIFS(SEGUIMIENTO!$Y$23:$Y$122,"I-FD",SEGUIMIENTO!$Z$23:$Z$122,"9")</f>
        <v>0</v>
      </c>
      <c r="CS58" s="161">
        <f>COUNTIFS(SEGUIMIENTO!$Y$23:$Y$122,"I-FD",SEGUIMIENTO!$Z$23:$Z$122,"10")</f>
        <v>0</v>
      </c>
      <c r="CT58" s="161">
        <f>COUNTIFS(SEGUIMIENTO!$Y$23:$Y$122,"I-FD",SEGUIMIENTO!$Z$23:$Z$122,"11")</f>
        <v>0</v>
      </c>
      <c r="CU58" s="161">
        <f>COUNTIFS(SEGUIMIENTO!$Y$23:$Y$122,"I-FD",SEGUIMIENTO!$Z$23:$Z$122,"12")</f>
        <v>0</v>
      </c>
      <c r="CV58" s="161">
        <f>COUNTIFS(SEGUIMIENTO!$Y$23:$Y$122,"I-FD",SEGUIMIENTO!$Z$23:$Z$122,"13")</f>
        <v>0</v>
      </c>
      <c r="CW58" s="161">
        <f>COUNTIFS(SEGUIMIENTO!$Y$23:$Y$122,"I-FD",SEGUIMIENTO!$Z$23:$Z$122,"14")</f>
        <v>0</v>
      </c>
      <c r="CX58" s="161">
        <f>COUNTIFS(SEGUIMIENTO!$Y$23:$Y$122,"I-FD",SEGUIMIENTO!$Z$23:$Z$122,"15")</f>
        <v>0</v>
      </c>
      <c r="CY58" s="161">
        <f>COUNTIFS(SEGUIMIENTO!$Y$23:$Y$122,"I-FD",SEGUIMIENTO!$Z$23:$Z$122,"16")</f>
        <v>0</v>
      </c>
      <c r="CZ58" s="162">
        <f>COUNTIFS(SEGUIMIENTO!$Y$23:$Y$122,"I-FD",SEGUIMIENTO!$Z$23:$Z$122,"N/A")</f>
        <v>0</v>
      </c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10"/>
      <c r="DL58" s="5"/>
      <c r="DM58" s="5"/>
      <c r="DN58" s="5"/>
      <c r="DO58" s="5"/>
      <c r="DP58" s="5"/>
      <c r="DQ58" s="5"/>
      <c r="DR58" s="5"/>
      <c r="DS58" s="5"/>
    </row>
    <row r="59" spans="2:140 16310:16310" s="11" customFormat="1" ht="12.45" customHeight="1" x14ac:dyDescent="0.2">
      <c r="B59" s="112"/>
      <c r="C59" s="115"/>
      <c r="D59" s="85" t="s">
        <v>40</v>
      </c>
      <c r="E59" s="80"/>
      <c r="F59" s="80"/>
      <c r="G59" s="80"/>
      <c r="H59" s="80"/>
      <c r="I59" s="80"/>
      <c r="J59" s="80"/>
      <c r="K59" s="80"/>
      <c r="L59" s="80"/>
      <c r="M59" s="16">
        <f>COUNTIF(SEGUIMIENTO!$Y$23:$Y$122,"narp")</f>
        <v>0</v>
      </c>
      <c r="N59" s="22"/>
      <c r="O59" s="182">
        <f>+BF16</f>
        <v>0</v>
      </c>
      <c r="P59" s="55">
        <f>+BF17</f>
        <v>0</v>
      </c>
      <c r="Q59" s="166">
        <f>+BF18</f>
        <v>0</v>
      </c>
      <c r="R59" s="55">
        <f>+BF19</f>
        <v>0</v>
      </c>
      <c r="S59" s="161">
        <f>+BF20</f>
        <v>0</v>
      </c>
      <c r="T59" s="16">
        <f>+BF21</f>
        <v>0</v>
      </c>
      <c r="U59" s="22"/>
      <c r="V59" s="22"/>
      <c r="W59" s="182">
        <f>+BF24</f>
        <v>0</v>
      </c>
      <c r="X59" s="55">
        <f>+BF25</f>
        <v>0</v>
      </c>
      <c r="Y59" s="166">
        <f>+BF26</f>
        <v>0</v>
      </c>
      <c r="Z59" s="55">
        <f>+BF27</f>
        <v>0</v>
      </c>
      <c r="AA59" s="161">
        <f>+BF28</f>
        <v>0</v>
      </c>
      <c r="AB59" s="55">
        <f>+BF29</f>
        <v>0</v>
      </c>
      <c r="AC59" s="198">
        <f>+BF30</f>
        <v>0</v>
      </c>
      <c r="AD59" s="22"/>
      <c r="AE59" s="22"/>
      <c r="AF59" s="182">
        <f>+BF33</f>
        <v>0</v>
      </c>
      <c r="AG59" s="16">
        <f>+BF34</f>
        <v>0</v>
      </c>
      <c r="AH59" s="22"/>
      <c r="AI59" s="22"/>
      <c r="AJ59" s="182">
        <f>+BF37</f>
        <v>0</v>
      </c>
      <c r="AK59" s="55">
        <f>+BF38</f>
        <v>0</v>
      </c>
      <c r="AL59" s="166">
        <f>+BF39</f>
        <v>0</v>
      </c>
      <c r="AM59" s="55">
        <f>+BF40</f>
        <v>0</v>
      </c>
      <c r="AN59" s="161">
        <f>+BF41</f>
        <v>0</v>
      </c>
      <c r="AO59" s="55">
        <f>+BF42</f>
        <v>0</v>
      </c>
      <c r="AP59" s="207">
        <f>+BF43</f>
        <v>0</v>
      </c>
      <c r="AQ59" s="150">
        <f>+BF44</f>
        <v>0</v>
      </c>
      <c r="AR59" s="209">
        <f>+BF45</f>
        <v>0</v>
      </c>
      <c r="AS59" s="150">
        <f>+BF46</f>
        <v>0</v>
      </c>
      <c r="AT59" s="211">
        <f>+BF47</f>
        <v>0</v>
      </c>
      <c r="AU59" s="150">
        <f>+BF48</f>
        <v>0</v>
      </c>
      <c r="AV59" s="201">
        <f>+BF49</f>
        <v>0</v>
      </c>
      <c r="AW59" s="22"/>
      <c r="AX59" s="22"/>
      <c r="AY59" s="270">
        <f>+BF52</f>
        <v>0</v>
      </c>
      <c r="AZ59" s="22"/>
      <c r="BA59" s="156"/>
      <c r="BB59" s="156"/>
      <c r="BC59" s="156"/>
      <c r="BD59" s="156"/>
      <c r="BE59" s="156"/>
      <c r="BF59" s="156"/>
      <c r="BG59" s="156"/>
      <c r="BH59" s="156"/>
      <c r="BI59" s="22"/>
      <c r="BJ59" s="22"/>
      <c r="BK59" s="15">
        <f>COUNTIFS(SEGUIMIENTO!$Y$23:$Y$122,"NARP",SEGUIMIENTO!$AA$23:$AA$122,"JAC")</f>
        <v>0</v>
      </c>
      <c r="BL59" s="55">
        <f>COUNTIFS(SEGUIMIENTO!$Y$23:$Y$122,"NARP",SEGUIMIENTO!$AA$23:$AA$122,"JAL")</f>
        <v>0</v>
      </c>
      <c r="BM59" s="55">
        <f>COUNTIFS(SEGUIMIENTO!$Y$23:$Y$122,"NARP",SEGUIMIENTO!$AA$23:$AA$122,"AMB")</f>
        <v>0</v>
      </c>
      <c r="BN59" s="55">
        <f>COUNTIFS(SEGUIMIENTO!$Y$23:$Y$122,"NARP",SEGUIMIENTO!$AA$23:$AA$122,"DDHH")</f>
        <v>0</v>
      </c>
      <c r="BO59" s="55">
        <f>COUNTIFS(SEGUIMIENTO!$Y$23:$Y$122,"NARP",SEGUIMIENTO!$AA$23:$AA$122,"SIND")</f>
        <v>0</v>
      </c>
      <c r="BP59" s="55">
        <f>COUNTIFS(SEGUIMIENTO!$Y$23:$Y$122,"NARP",SEGUIMIENTO!$AA$23:$AA$122,"REL")</f>
        <v>0</v>
      </c>
      <c r="BQ59" s="55">
        <f>COUNTIFS(SEGUIMIENTO!$Y$23:$Y$122,"NARP",SEGUIMIENTO!$AA$23:$AA$122,"1")</f>
        <v>0</v>
      </c>
      <c r="BR59" s="16">
        <f>COUNTIFS(SEGUIMIENTO!$Y$23:$Y$122,"NARP",SEGUIMIENTO!$AA$23:$AA$122,"N/A")</f>
        <v>0</v>
      </c>
      <c r="BS59" s="22"/>
      <c r="BT59" s="22"/>
      <c r="BU59" s="15">
        <f>COUNTIFS(SEGUIMIENTO!$Y$23:$Y$122,"NARP",SEGUIMIENTO!$AB$23:$AB$122,"RUR")</f>
        <v>0</v>
      </c>
      <c r="BV59" s="16">
        <f>COUNTIFS(SEGUIMIENTO!$Y$23:$Y$122,"NARP",SEGUIMIENTO!$AB$23:$AB$122,"URB")</f>
        <v>0</v>
      </c>
      <c r="BW59" s="22"/>
      <c r="BX59" s="22"/>
      <c r="BY59" s="15">
        <f>COUNTIFS(SEGUIMIENTO!$Y$23:$Y$122,"NARP",SEGUIMIENTO!$AD$23:$AD$122,"1")</f>
        <v>0</v>
      </c>
      <c r="BZ59" s="55">
        <f>COUNTIFS(SEGUIMIENTO!$Y$23:$Y$122,"NARP",SEGUIMIENTO!$AD$23:$AD$122,"2")</f>
        <v>0</v>
      </c>
      <c r="CA59" s="55">
        <f>COUNTIFS(SEGUIMIENTO!$Y$23:$Y$122,"NARP",SEGUIMIENTO!$AD$23:$AD$122,"3")</f>
        <v>0</v>
      </c>
      <c r="CB59" s="55">
        <f>COUNTIFS(SEGUIMIENTO!$Y$23:$Y$122,"NARP",SEGUIMIENTO!$AD$23:$AD$122,"4")</f>
        <v>0</v>
      </c>
      <c r="CC59" s="55">
        <f>COUNTIFS(SEGUIMIENTO!$Y$23:$Y$122,"NARP",SEGUIMIENTO!$AD$23:$AD$122,"5")</f>
        <v>0</v>
      </c>
      <c r="CD59" s="55">
        <f>COUNTIFS(SEGUIMIENTO!$Y$23:$Y$122,"NARP",SEGUIMIENTO!$AD$23:$AD$122,"6")</f>
        <v>0</v>
      </c>
      <c r="CE59" s="55">
        <f>COUNTIFS(SEGUIMIENTO!$Y$23:$Y$122,"NARP",SEGUIMIENTO!$AD$23:$AD$122,"7")</f>
        <v>0</v>
      </c>
      <c r="CF59" s="55">
        <f>COUNTIFS(SEGUIMIENTO!$Y$23:$Y$122,"NARP",SEGUIMIENTO!$AD$23:$AD$122,"8")</f>
        <v>0</v>
      </c>
      <c r="CG59" s="16">
        <f>COUNTIFS(SEGUIMIENTO!$Y$23:$Y$122,"NARP",SEGUIMIENTO!$AD$23:$AD$122,"9")</f>
        <v>0</v>
      </c>
      <c r="CH59" s="22"/>
      <c r="CI59" s="22"/>
      <c r="CJ59" s="15">
        <f>COUNTIFS(SEGUIMIENTO!$Y$23:$Y$122,"NARP",SEGUIMIENTO!$Z$23:$Z$122,"1")</f>
        <v>0</v>
      </c>
      <c r="CK59" s="55">
        <f>COUNTIFS(SEGUIMIENTO!$Y$23:$Y$122,"NARP",SEGUIMIENTO!$Z$23:$Z$122,"2")</f>
        <v>0</v>
      </c>
      <c r="CL59" s="55">
        <f>COUNTIFS(SEGUIMIENTO!$Y$23:$Y$122,"NARP",SEGUIMIENTO!$Z$23:$Z$122,"3")</f>
        <v>0</v>
      </c>
      <c r="CM59" s="55">
        <f>COUNTIFS(SEGUIMIENTO!$Y$23:$Y$122,"NARP",SEGUIMIENTO!$Z$23:$Z$122,"4")</f>
        <v>0</v>
      </c>
      <c r="CN59" s="55">
        <f>COUNTIFS(SEGUIMIENTO!$Y$23:$Y$122,"NARP",SEGUIMIENTO!$Z$23:$Z$122,"5")</f>
        <v>0</v>
      </c>
      <c r="CO59" s="55">
        <f>COUNTIFS(SEGUIMIENTO!$Y$23:$Y$122,"NARP",SEGUIMIENTO!$Z$23:$Z$122,"6")</f>
        <v>0</v>
      </c>
      <c r="CP59" s="55">
        <f>COUNTIFS(SEGUIMIENTO!$Y$23:$Y$122,"NARP",SEGUIMIENTO!$Z$23:$Z$122,"7")</f>
        <v>0</v>
      </c>
      <c r="CQ59" s="55">
        <f>COUNTIFS(SEGUIMIENTO!$Y$23:$Y$122,"NARP",SEGUIMIENTO!$Z$23:$Z$122,"8")</f>
        <v>0</v>
      </c>
      <c r="CR59" s="55">
        <f>COUNTIFS(SEGUIMIENTO!$Y$23:$Y$122,"NARP",SEGUIMIENTO!$Z$23:$Z$122,"9")</f>
        <v>0</v>
      </c>
      <c r="CS59" s="55">
        <f>COUNTIFS(SEGUIMIENTO!$Y$23:$Y$122,"NARP",SEGUIMIENTO!$Z$23:$Z$122,"10")</f>
        <v>0</v>
      </c>
      <c r="CT59" s="55">
        <f>COUNTIFS(SEGUIMIENTO!$Y$23:$Y$122,"NARP",SEGUIMIENTO!$Z$23:$Z$122,"11")</f>
        <v>0</v>
      </c>
      <c r="CU59" s="55">
        <f>COUNTIFS(SEGUIMIENTO!$Y$23:$Y$122,"NARP",SEGUIMIENTO!$Z$23:$Z$122,"12")</f>
        <v>0</v>
      </c>
      <c r="CV59" s="55">
        <f>COUNTIFS(SEGUIMIENTO!$Y$23:$Y$122,"NARP",SEGUIMIENTO!$Z$23:$Z$122,"13")</f>
        <v>0</v>
      </c>
      <c r="CW59" s="55">
        <f>COUNTIFS(SEGUIMIENTO!$Y$23:$Y$122,"NARP",SEGUIMIENTO!$Z$23:$Z$122,"14")</f>
        <v>0</v>
      </c>
      <c r="CX59" s="55">
        <f>COUNTIFS(SEGUIMIENTO!$Y$23:$Y$122,"NARP",SEGUIMIENTO!$Z$23:$Z$122,"15")</f>
        <v>0</v>
      </c>
      <c r="CY59" s="55">
        <f>COUNTIFS(SEGUIMIENTO!$Y$23:$Y$122,"NARP",SEGUIMIENTO!$Z$23:$Z$122,"16")</f>
        <v>0</v>
      </c>
      <c r="CZ59" s="16">
        <f>COUNTIFS(SEGUIMIENTO!$Y$23:$Y$122,"NARP",SEGUIMIENTO!$Z$23:$Z$122,"N/A")</f>
        <v>0</v>
      </c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10"/>
      <c r="DL59" s="5"/>
      <c r="DM59" s="5"/>
      <c r="DN59" s="5"/>
      <c r="DO59" s="5"/>
      <c r="DP59" s="5"/>
      <c r="DQ59" s="5"/>
      <c r="DR59" s="5"/>
      <c r="DS59" s="5"/>
    </row>
    <row r="60" spans="2:140 16310:16310" s="11" customFormat="1" ht="12.45" customHeight="1" x14ac:dyDescent="0.2">
      <c r="B60" s="112"/>
      <c r="C60" s="115"/>
      <c r="D60" s="313" t="s">
        <v>41</v>
      </c>
      <c r="E60" s="312"/>
      <c r="F60" s="312"/>
      <c r="G60" s="312"/>
      <c r="H60" s="312"/>
      <c r="I60" s="312"/>
      <c r="J60" s="312"/>
      <c r="K60" s="312"/>
      <c r="L60" s="312"/>
      <c r="M60" s="198">
        <f>COUNTIF(SEGUIMIENTO!$Y$23:$Y$122,"R")</f>
        <v>0</v>
      </c>
      <c r="N60" s="22"/>
      <c r="O60" s="182">
        <f>+BG16</f>
        <v>0</v>
      </c>
      <c r="P60" s="55">
        <f>+BG17</f>
        <v>0</v>
      </c>
      <c r="Q60" s="166">
        <f>+BG18</f>
        <v>0</v>
      </c>
      <c r="R60" s="55">
        <f>+BG19</f>
        <v>0</v>
      </c>
      <c r="S60" s="161">
        <f>+BG20</f>
        <v>0</v>
      </c>
      <c r="T60" s="16">
        <f>+BG21</f>
        <v>0</v>
      </c>
      <c r="U60" s="22"/>
      <c r="V60" s="22"/>
      <c r="W60" s="182">
        <f>+BG24</f>
        <v>0</v>
      </c>
      <c r="X60" s="55">
        <f>+BG25</f>
        <v>0</v>
      </c>
      <c r="Y60" s="166">
        <f>+BG26</f>
        <v>0</v>
      </c>
      <c r="Z60" s="55">
        <f>+BG27</f>
        <v>0</v>
      </c>
      <c r="AA60" s="161">
        <f>+BG28</f>
        <v>0</v>
      </c>
      <c r="AB60" s="55">
        <f>+BG29</f>
        <v>0</v>
      </c>
      <c r="AC60" s="198">
        <f>+BG30</f>
        <v>0</v>
      </c>
      <c r="AD60" s="22"/>
      <c r="AE60" s="22"/>
      <c r="AF60" s="182">
        <f>+BG33</f>
        <v>0</v>
      </c>
      <c r="AG60" s="16">
        <f>+BG34</f>
        <v>0</v>
      </c>
      <c r="AH60" s="22"/>
      <c r="AI60" s="22"/>
      <c r="AJ60" s="182">
        <f>+BG37</f>
        <v>0</v>
      </c>
      <c r="AK60" s="55">
        <f>+BG38</f>
        <v>0</v>
      </c>
      <c r="AL60" s="166">
        <f>+BG39</f>
        <v>0</v>
      </c>
      <c r="AM60" s="55">
        <f>+BG40</f>
        <v>0</v>
      </c>
      <c r="AN60" s="161">
        <f>+BG41</f>
        <v>0</v>
      </c>
      <c r="AO60" s="55">
        <f>+BG42</f>
        <v>0</v>
      </c>
      <c r="AP60" s="207">
        <f>+BG43</f>
        <v>0</v>
      </c>
      <c r="AQ60" s="150">
        <f>+BG44</f>
        <v>0</v>
      </c>
      <c r="AR60" s="209">
        <f>+BG45</f>
        <v>0</v>
      </c>
      <c r="AS60" s="150">
        <f>+BG46</f>
        <v>0</v>
      </c>
      <c r="AT60" s="211">
        <f>+BG47</f>
        <v>0</v>
      </c>
      <c r="AU60" s="150">
        <f>+BG48</f>
        <v>0</v>
      </c>
      <c r="AV60" s="201">
        <f>+BG49</f>
        <v>0</v>
      </c>
      <c r="AW60" s="22"/>
      <c r="AX60" s="22"/>
      <c r="AY60" s="270">
        <f>+BG52</f>
        <v>0</v>
      </c>
      <c r="AZ60" s="22"/>
      <c r="BA60" s="156"/>
      <c r="BB60" s="156"/>
      <c r="BC60" s="156"/>
      <c r="BD60" s="156"/>
      <c r="BE60" s="156"/>
      <c r="BF60" s="156"/>
      <c r="BG60" s="156"/>
      <c r="BH60" s="156"/>
      <c r="BI60" s="22"/>
      <c r="BJ60" s="22"/>
      <c r="BK60" s="206">
        <f>COUNTIFS(SEGUIMIENTO!$Y$23:$Y$122,"R",SEGUIMIENTO!$AA$23:$AA$122,"JAC")</f>
        <v>0</v>
      </c>
      <c r="BL60" s="207">
        <f>COUNTIFS(SEGUIMIENTO!$Y$23:$Y$122,"R",SEGUIMIENTO!$AA$23:$AA$122,"JAL")</f>
        <v>0</v>
      </c>
      <c r="BM60" s="207">
        <f>COUNTIFS(SEGUIMIENTO!$Y$23:$Y$122,"R",SEGUIMIENTO!$AA$23:$AA$122,"AMB")</f>
        <v>0</v>
      </c>
      <c r="BN60" s="207">
        <f>COUNTIFS(SEGUIMIENTO!$Y$23:$Y$122,"R",SEGUIMIENTO!$AA$23:$AA$122,"DDHH")</f>
        <v>0</v>
      </c>
      <c r="BO60" s="207">
        <f>COUNTIFS(SEGUIMIENTO!$Y$23:$Y$122,"R",SEGUIMIENTO!$AA$23:$AA$122,"SIND")</f>
        <v>0</v>
      </c>
      <c r="BP60" s="207">
        <f>COUNTIFS(SEGUIMIENTO!$Y$23:$Y$122,"R",SEGUIMIENTO!$AA$23:$AA$122,"REL")</f>
        <v>0</v>
      </c>
      <c r="BQ60" s="207">
        <f>COUNTIFS(SEGUIMIENTO!$Y$23:$Y$122,"R",SEGUIMIENTO!$AA$23:$AA$122,"1")</f>
        <v>0</v>
      </c>
      <c r="BR60" s="198">
        <f>COUNTIFS(SEGUIMIENTO!$Y$23:$Y$122,"R",SEGUIMIENTO!$AA$23:$AA$122,"N/A")</f>
        <v>0</v>
      </c>
      <c r="BS60" s="22"/>
      <c r="BT60" s="22"/>
      <c r="BU60" s="206">
        <f>COUNTIFS(SEGUIMIENTO!$Y$23:$Y$122,"R",SEGUIMIENTO!$AB$23:$AB$122,"RUR")</f>
        <v>0</v>
      </c>
      <c r="BV60" s="198">
        <f>COUNTIFS(SEGUIMIENTO!$Y$23:$Y$122,"R",SEGUIMIENTO!$AB$23:$AB$122,"URB")</f>
        <v>0</v>
      </c>
      <c r="BW60" s="22"/>
      <c r="BX60" s="22"/>
      <c r="BY60" s="206">
        <f>COUNTIFS(SEGUIMIENTO!$Y$23:$Y$122,"R",SEGUIMIENTO!$AD$23:$AD$122,"1")</f>
        <v>0</v>
      </c>
      <c r="BZ60" s="207">
        <f>COUNTIFS(SEGUIMIENTO!$Y$23:$Y$122,"R",SEGUIMIENTO!$AD$23:$AD$122,"2")</f>
        <v>0</v>
      </c>
      <c r="CA60" s="207">
        <f>COUNTIFS(SEGUIMIENTO!$Y$23:$Y$122,"R",SEGUIMIENTO!$AD$23:$AD$122,"3")</f>
        <v>0</v>
      </c>
      <c r="CB60" s="207">
        <f>COUNTIFS(SEGUIMIENTO!$Y$23:$Y$122,"R",SEGUIMIENTO!$AD$23:$AD$122,"4")</f>
        <v>0</v>
      </c>
      <c r="CC60" s="207">
        <f>COUNTIFS(SEGUIMIENTO!$Y$23:$Y$122,"R",SEGUIMIENTO!$AD$23:$AD$122,"5")</f>
        <v>0</v>
      </c>
      <c r="CD60" s="207">
        <f>COUNTIFS(SEGUIMIENTO!$Y$23:$Y$122,"R",SEGUIMIENTO!$AD$23:$AD$122,"6")</f>
        <v>0</v>
      </c>
      <c r="CE60" s="207">
        <f>COUNTIFS(SEGUIMIENTO!$Y$23:$Y$122,"R",SEGUIMIENTO!$AD$23:$AD$122,"7")</f>
        <v>0</v>
      </c>
      <c r="CF60" s="207">
        <f>COUNTIFS(SEGUIMIENTO!$Y$23:$Y$122,"R",SEGUIMIENTO!$AD$23:$AD$122,"8")</f>
        <v>0</v>
      </c>
      <c r="CG60" s="198">
        <f>COUNTIFS(SEGUIMIENTO!$Y$23:$Y$122,"R",SEGUIMIENTO!$AD$23:$AD$122,"9")</f>
        <v>0</v>
      </c>
      <c r="CH60" s="22"/>
      <c r="CI60" s="22"/>
      <c r="CJ60" s="206">
        <f>COUNTIFS(SEGUIMIENTO!$Y$23:$Y$122,"R",SEGUIMIENTO!$Z$23:$Z$122,"1")</f>
        <v>0</v>
      </c>
      <c r="CK60" s="207">
        <f>COUNTIFS(SEGUIMIENTO!$Y$23:$Y$122,"R",SEGUIMIENTO!$Z$23:$Z$122,"2")</f>
        <v>0</v>
      </c>
      <c r="CL60" s="207">
        <f>COUNTIFS(SEGUIMIENTO!$Y$23:$Y$122,"R",SEGUIMIENTO!$Z$23:$Z$122,"3")</f>
        <v>0</v>
      </c>
      <c r="CM60" s="207">
        <f>COUNTIFS(SEGUIMIENTO!$Y$23:$Y$122,"R",SEGUIMIENTO!$Z$23:$Z$122,"4")</f>
        <v>0</v>
      </c>
      <c r="CN60" s="207">
        <f>COUNTIFS(SEGUIMIENTO!$Y$23:$Y$122,"R",SEGUIMIENTO!$Z$23:$Z$122,"5")</f>
        <v>0</v>
      </c>
      <c r="CO60" s="207">
        <f>COUNTIFS(SEGUIMIENTO!$Y$23:$Y$122,"R",SEGUIMIENTO!$Z$23:$Z$122,"6")</f>
        <v>0</v>
      </c>
      <c r="CP60" s="207">
        <f>COUNTIFS(SEGUIMIENTO!$Y$23:$Y$122,"R",SEGUIMIENTO!$Z$23:$Z$122,"7")</f>
        <v>0</v>
      </c>
      <c r="CQ60" s="207">
        <f>COUNTIFS(SEGUIMIENTO!$Y$23:$Y$122,"R",SEGUIMIENTO!$Z$23:$Z$122,"8")</f>
        <v>0</v>
      </c>
      <c r="CR60" s="207">
        <f>COUNTIFS(SEGUIMIENTO!$Y$23:$Y$122,"R",SEGUIMIENTO!$Z$23:$Z$122,"9")</f>
        <v>0</v>
      </c>
      <c r="CS60" s="207">
        <f>COUNTIFS(SEGUIMIENTO!$Y$23:$Y$122,"R",SEGUIMIENTO!$Z$23:$Z$122,"10")</f>
        <v>0</v>
      </c>
      <c r="CT60" s="207">
        <f>COUNTIFS(SEGUIMIENTO!$Y$23:$Y$122,"R",SEGUIMIENTO!$Z$23:$Z$122,"11")</f>
        <v>0</v>
      </c>
      <c r="CU60" s="207">
        <f>COUNTIFS(SEGUIMIENTO!$Y$23:$Y$122,"R",SEGUIMIENTO!$Z$23:$Z$122,"12")</f>
        <v>0</v>
      </c>
      <c r="CV60" s="207">
        <f>COUNTIFS(SEGUIMIENTO!$Y$23:$Y$122,"R",SEGUIMIENTO!$Z$23:$Z$122,"13")</f>
        <v>0</v>
      </c>
      <c r="CW60" s="207">
        <f>COUNTIFS(SEGUIMIENTO!$Y$23:$Y$122,"R",SEGUIMIENTO!$Z$23:$Z$122,"14")</f>
        <v>0</v>
      </c>
      <c r="CX60" s="207">
        <f>COUNTIFS(SEGUIMIENTO!$Y$23:$Y$122,"R",SEGUIMIENTO!$Z$23:$Z$122,"15")</f>
        <v>0</v>
      </c>
      <c r="CY60" s="207">
        <f>COUNTIFS(SEGUIMIENTO!$Y$23:$Y$122,"R",SEGUIMIENTO!$Z$23:$Z$122,"16")</f>
        <v>0</v>
      </c>
      <c r="CZ60" s="198">
        <f>COUNTIFS(SEGUIMIENTO!$Y$23:$Y$122,"R",SEGUIMIENTO!$Z$23:$Z$122,"N/A")</f>
        <v>0</v>
      </c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10"/>
      <c r="DL60" s="5"/>
      <c r="DM60" s="5"/>
      <c r="DN60" s="5"/>
      <c r="DO60" s="5"/>
      <c r="DP60" s="5"/>
      <c r="DQ60" s="5"/>
      <c r="DR60" s="5"/>
      <c r="DS60" s="5"/>
    </row>
    <row r="61" spans="2:140 16310:16310" s="11" customFormat="1" ht="12.45" customHeight="1" thickBot="1" x14ac:dyDescent="0.25">
      <c r="B61" s="112"/>
      <c r="C61" s="115"/>
      <c r="D61" s="86" t="s">
        <v>199</v>
      </c>
      <c r="E61" s="345"/>
      <c r="F61" s="345"/>
      <c r="G61" s="345"/>
      <c r="H61" s="345"/>
      <c r="I61" s="345"/>
      <c r="J61" s="345"/>
      <c r="K61" s="345"/>
      <c r="L61" s="345"/>
      <c r="M61" s="20">
        <f>COUNTIF(SEGUIMIENTO!$Y$23:$Y$122,"N/A")</f>
        <v>0</v>
      </c>
      <c r="N61" s="22"/>
      <c r="O61" s="183">
        <f>+BH16</f>
        <v>0</v>
      </c>
      <c r="P61" s="19">
        <f>+BH17</f>
        <v>0</v>
      </c>
      <c r="Q61" s="185">
        <f>+BH18</f>
        <v>0</v>
      </c>
      <c r="R61" s="19">
        <f>+BH19</f>
        <v>0</v>
      </c>
      <c r="S61" s="187">
        <f>+BH20</f>
        <v>0</v>
      </c>
      <c r="T61" s="20">
        <f>+BH21</f>
        <v>0</v>
      </c>
      <c r="U61" s="22"/>
      <c r="V61" s="22"/>
      <c r="W61" s="183">
        <f>+BH24</f>
        <v>0</v>
      </c>
      <c r="X61" s="19">
        <f>+BH25</f>
        <v>0</v>
      </c>
      <c r="Y61" s="185">
        <f>+BH26</f>
        <v>0</v>
      </c>
      <c r="Z61" s="19">
        <f>+BH27</f>
        <v>0</v>
      </c>
      <c r="AA61" s="187">
        <f>+BH28</f>
        <v>0</v>
      </c>
      <c r="AB61" s="19">
        <f>+BH29</f>
        <v>0</v>
      </c>
      <c r="AC61" s="188">
        <f>+BH30</f>
        <v>0</v>
      </c>
      <c r="AD61" s="22"/>
      <c r="AE61" s="22"/>
      <c r="AF61" s="183">
        <f>+BH33</f>
        <v>0</v>
      </c>
      <c r="AG61" s="20">
        <f>+BH34</f>
        <v>0</v>
      </c>
      <c r="AH61" s="22"/>
      <c r="AI61" s="22"/>
      <c r="AJ61" s="183">
        <f>+BH37</f>
        <v>0</v>
      </c>
      <c r="AK61" s="19">
        <f>+BH38</f>
        <v>0</v>
      </c>
      <c r="AL61" s="185">
        <f>+BH39</f>
        <v>0</v>
      </c>
      <c r="AM61" s="19">
        <f>+BH40</f>
        <v>0</v>
      </c>
      <c r="AN61" s="187">
        <f>+BH41</f>
        <v>0</v>
      </c>
      <c r="AO61" s="19">
        <f>+BH42</f>
        <v>0</v>
      </c>
      <c r="AP61" s="190">
        <f>+BH43</f>
        <v>0</v>
      </c>
      <c r="AQ61" s="153">
        <f>+BH44</f>
        <v>0</v>
      </c>
      <c r="AR61" s="268">
        <f>+BH45</f>
        <v>0</v>
      </c>
      <c r="AS61" s="153">
        <f>+BH46</f>
        <v>0</v>
      </c>
      <c r="AT61" s="269">
        <f>+BH47</f>
        <v>0</v>
      </c>
      <c r="AU61" s="153">
        <f>+BH48</f>
        <v>0</v>
      </c>
      <c r="AV61" s="214">
        <f>+BH49</f>
        <v>0</v>
      </c>
      <c r="AW61" s="22"/>
      <c r="AX61" s="22"/>
      <c r="AY61" s="271">
        <f>+BH52</f>
        <v>0</v>
      </c>
      <c r="AZ61" s="22"/>
      <c r="BA61" s="156"/>
      <c r="BB61" s="156"/>
      <c r="BC61" s="156"/>
      <c r="BD61" s="156"/>
      <c r="BE61" s="156"/>
      <c r="BF61" s="156"/>
      <c r="BG61" s="156"/>
      <c r="BH61" s="156"/>
      <c r="BI61" s="22"/>
      <c r="BJ61" s="22"/>
      <c r="BK61" s="18">
        <f>COUNTIFS(SEGUIMIENTO!$Y$23:$Y$122,"N/A",SEGUIMIENTO!$AA$23:$AA$122,"JAC")</f>
        <v>0</v>
      </c>
      <c r="BL61" s="19">
        <f>COUNTIFS(SEGUIMIENTO!$Y$23:$Y$122,"N/A",SEGUIMIENTO!$AA$23:$AA$122,"JAL")</f>
        <v>0</v>
      </c>
      <c r="BM61" s="19">
        <f>COUNTIFS(SEGUIMIENTO!$Y$23:$Y$122,"N/A",SEGUIMIENTO!$AA$23:$AA$122,"AMB")</f>
        <v>0</v>
      </c>
      <c r="BN61" s="19">
        <f>COUNTIFS(SEGUIMIENTO!$Y$23:$Y$122,"N/A",SEGUIMIENTO!$AA$23:$AA$122,"DDHH")</f>
        <v>0</v>
      </c>
      <c r="BO61" s="19">
        <f>COUNTIFS(SEGUIMIENTO!$Y$23:$Y$122,"N/A",SEGUIMIENTO!$AA$23:$AA$122,"SIND")</f>
        <v>0</v>
      </c>
      <c r="BP61" s="19">
        <f>COUNTIFS(SEGUIMIENTO!$Y$23:$Y$122,"N/A",SEGUIMIENTO!$AA$23:$AA$122,"REL")</f>
        <v>0</v>
      </c>
      <c r="BQ61" s="19">
        <f>COUNTIFS(SEGUIMIENTO!$Y$23:$Y$122,"N/A",SEGUIMIENTO!$AA$23:$AA$122,"1")</f>
        <v>0</v>
      </c>
      <c r="BR61" s="20">
        <f>COUNTIFS(SEGUIMIENTO!$Y$23:$Y$122,"N/A",SEGUIMIENTO!$AA$23:$AA$122,"N/A")</f>
        <v>0</v>
      </c>
      <c r="BS61" s="22"/>
      <c r="BT61" s="22"/>
      <c r="BU61" s="18">
        <f>COUNTIFS(SEGUIMIENTO!$Y$23:$Y$122,"N/A",SEGUIMIENTO!$AB$23:$AB$122,"RUR")</f>
        <v>0</v>
      </c>
      <c r="BV61" s="20">
        <f>COUNTIFS(SEGUIMIENTO!$Y$23:$Y$122,"N/A",SEGUIMIENTO!$AB$23:$AB$122,"URB")</f>
        <v>0</v>
      </c>
      <c r="BW61" s="22"/>
      <c r="BX61" s="22"/>
      <c r="BY61" s="18">
        <f>COUNTIFS(SEGUIMIENTO!$Y$23:$Y$122,"N/A",SEGUIMIENTO!$AD$23:$AD$122,"1")</f>
        <v>0</v>
      </c>
      <c r="BZ61" s="19">
        <f>COUNTIFS(SEGUIMIENTO!$Y$23:$Y$122,"N/A",SEGUIMIENTO!$AD$23:$AD$122,"2")</f>
        <v>0</v>
      </c>
      <c r="CA61" s="19">
        <f>COUNTIFS(SEGUIMIENTO!$Y$23:$Y$122,"N/A",SEGUIMIENTO!$AD$23:$AD$122,"3")</f>
        <v>0</v>
      </c>
      <c r="CB61" s="19">
        <f>COUNTIFS(SEGUIMIENTO!$Y$23:$Y$122,"N/A",SEGUIMIENTO!$AD$23:$AD$122,"4")</f>
        <v>0</v>
      </c>
      <c r="CC61" s="19">
        <f>COUNTIFS(SEGUIMIENTO!$Y$23:$Y$122,"N/A",SEGUIMIENTO!$AD$23:$AD$122,"5")</f>
        <v>0</v>
      </c>
      <c r="CD61" s="19">
        <f>COUNTIFS(SEGUIMIENTO!$Y$23:$Y$122,"N/A",SEGUIMIENTO!$AD$23:$AD$122,"6")</f>
        <v>0</v>
      </c>
      <c r="CE61" s="19">
        <f>COUNTIFS(SEGUIMIENTO!$Y$23:$Y$122,"N/A",SEGUIMIENTO!$AD$23:$AD$122,"7")</f>
        <v>0</v>
      </c>
      <c r="CF61" s="19">
        <f>COUNTIFS(SEGUIMIENTO!$Y$23:$Y$122,"N/A",SEGUIMIENTO!$AD$23:$AD$122,"8")</f>
        <v>0</v>
      </c>
      <c r="CG61" s="20">
        <f>COUNTIFS(SEGUIMIENTO!$Y$23:$Y$122,"N/A",SEGUIMIENTO!$AD$23:$AD$122,"9")</f>
        <v>0</v>
      </c>
      <c r="CH61" s="22"/>
      <c r="CI61" s="22"/>
      <c r="CJ61" s="18">
        <f>COUNTIFS(SEGUIMIENTO!$Y$23:$Y$122,"N/A",SEGUIMIENTO!$Z$23:$Z$122,"1")</f>
        <v>0</v>
      </c>
      <c r="CK61" s="19">
        <f>COUNTIFS(SEGUIMIENTO!$Y$23:$Y$122,"N/A",SEGUIMIENTO!$Z$23:$Z$122,"2")</f>
        <v>0</v>
      </c>
      <c r="CL61" s="19">
        <f>COUNTIFS(SEGUIMIENTO!$Y$23:$Y$122,"N/A",SEGUIMIENTO!$Z$23:$Z$122,"3")</f>
        <v>0</v>
      </c>
      <c r="CM61" s="19">
        <f>COUNTIFS(SEGUIMIENTO!$Y$23:$Y$122,"N/A",SEGUIMIENTO!$Z$23:$Z$122,"4")</f>
        <v>0</v>
      </c>
      <c r="CN61" s="19">
        <f>COUNTIFS(SEGUIMIENTO!$Y$23:$Y$122,"N/A",SEGUIMIENTO!$Z$23:$Z$122,"5")</f>
        <v>0</v>
      </c>
      <c r="CO61" s="19">
        <f>COUNTIFS(SEGUIMIENTO!$Y$23:$Y$122,"N/A",SEGUIMIENTO!$Z$23:$Z$122,"6")</f>
        <v>0</v>
      </c>
      <c r="CP61" s="19">
        <f>COUNTIFS(SEGUIMIENTO!$Y$23:$Y$122,"N/A",SEGUIMIENTO!$Z$23:$Z$122,"7")</f>
        <v>0</v>
      </c>
      <c r="CQ61" s="19">
        <f>COUNTIFS(SEGUIMIENTO!$Y$23:$Y$122,"N/A",SEGUIMIENTO!$Z$23:$Z$122,"8")</f>
        <v>0</v>
      </c>
      <c r="CR61" s="19">
        <f>COUNTIFS(SEGUIMIENTO!$Y$23:$Y$122,"N/A",SEGUIMIENTO!$Z$23:$Z$122,"9")</f>
        <v>0</v>
      </c>
      <c r="CS61" s="19">
        <f>COUNTIFS(SEGUIMIENTO!$Y$23:$Y$122,"N/A",SEGUIMIENTO!$Z$23:$Z$122,"10")</f>
        <v>0</v>
      </c>
      <c r="CT61" s="19">
        <f>COUNTIFS(SEGUIMIENTO!$Y$23:$Y$122,"N/A",SEGUIMIENTO!$Z$23:$Z$122,"11")</f>
        <v>0</v>
      </c>
      <c r="CU61" s="19">
        <f>COUNTIFS(SEGUIMIENTO!$Y$23:$Y$122,"N/A",SEGUIMIENTO!$Z$23:$Z$122,"12")</f>
        <v>0</v>
      </c>
      <c r="CV61" s="19">
        <f>COUNTIFS(SEGUIMIENTO!$Y$23:$Y$122,"N/A",SEGUIMIENTO!$Z$23:$Z$122,"13")</f>
        <v>0</v>
      </c>
      <c r="CW61" s="19">
        <f>COUNTIFS(SEGUIMIENTO!$Y$23:$Y$122,"N/A",SEGUIMIENTO!$Z$23:$Z$122,"14")</f>
        <v>0</v>
      </c>
      <c r="CX61" s="19">
        <f>COUNTIFS(SEGUIMIENTO!$Y$23:$Y$122,"N/A",SEGUIMIENTO!$Z$23:$Z$122,"15")</f>
        <v>0</v>
      </c>
      <c r="CY61" s="19">
        <f>COUNTIFS(SEGUIMIENTO!$Y$23:$Y$122,"N/A",SEGUIMIENTO!$Z$23:$Z$122,"16")</f>
        <v>0</v>
      </c>
      <c r="CZ61" s="20">
        <f>COUNTIFS(SEGUIMIENTO!$Y$23:$Y$122,"N/A",SEGUIMIENTO!$Z$23:$Z$122,"N/A")</f>
        <v>0</v>
      </c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10"/>
      <c r="DL61" s="5"/>
      <c r="DM61" s="5"/>
      <c r="DN61" s="5"/>
      <c r="DO61" s="5"/>
      <c r="DP61" s="5"/>
      <c r="DQ61" s="5"/>
      <c r="DR61" s="5"/>
      <c r="DS61" s="5"/>
    </row>
    <row r="62" spans="2:140 16310:16310" s="11" customFormat="1" ht="12.45" customHeight="1" thickBot="1" x14ac:dyDescent="0.25">
      <c r="B62" s="113"/>
      <c r="C62" s="303"/>
      <c r="D62" s="299" t="s">
        <v>90</v>
      </c>
      <c r="E62" s="346"/>
      <c r="F62" s="346"/>
      <c r="G62" s="346"/>
      <c r="H62" s="346"/>
      <c r="I62" s="346"/>
      <c r="J62" s="346"/>
      <c r="K62" s="346"/>
      <c r="L62" s="346"/>
      <c r="M62" s="145">
        <f>SUM(M54:M61)</f>
        <v>0</v>
      </c>
      <c r="N62" s="9"/>
      <c r="O62" s="9">
        <f>SUM(O54:O61)</f>
        <v>0</v>
      </c>
      <c r="P62" s="9">
        <f t="shared" ref="P62:T62" si="72">SUM(P54:P61)</f>
        <v>0</v>
      </c>
      <c r="Q62" s="9">
        <f t="shared" si="72"/>
        <v>0</v>
      </c>
      <c r="R62" s="9">
        <f t="shared" si="72"/>
        <v>0</v>
      </c>
      <c r="S62" s="9">
        <f t="shared" si="72"/>
        <v>0</v>
      </c>
      <c r="T62" s="9">
        <f t="shared" si="72"/>
        <v>0</v>
      </c>
      <c r="U62" s="142">
        <f>SUM(O62:T62)</f>
        <v>0</v>
      </c>
      <c r="V62" s="9"/>
      <c r="W62" s="9">
        <f t="shared" ref="W62" si="73">SUM(W54:W61)</f>
        <v>0</v>
      </c>
      <c r="X62" s="9">
        <f t="shared" ref="X62" si="74">SUM(X54:X61)</f>
        <v>0</v>
      </c>
      <c r="Y62" s="9">
        <f t="shared" ref="Y62" si="75">SUM(Y54:Y61)</f>
        <v>0</v>
      </c>
      <c r="Z62" s="9">
        <f t="shared" ref="Z62" si="76">SUM(Z54:Z61)</f>
        <v>0</v>
      </c>
      <c r="AA62" s="9">
        <f t="shared" ref="AA62" si="77">SUM(AA54:AA61)</f>
        <v>0</v>
      </c>
      <c r="AB62" s="9">
        <f t="shared" ref="AB62" si="78">SUM(AB54:AB61)</f>
        <v>0</v>
      </c>
      <c r="AC62" s="9">
        <f t="shared" ref="AC62" si="79">SUM(AC54:AC61)</f>
        <v>0</v>
      </c>
      <c r="AD62" s="142">
        <f>SUM(W62:AC62)</f>
        <v>0</v>
      </c>
      <c r="AE62" s="10"/>
      <c r="AF62" s="9">
        <f t="shared" ref="AF62" si="80">SUM(AF54:AF61)</f>
        <v>0</v>
      </c>
      <c r="AG62" s="9">
        <f t="shared" ref="AG62" si="81">SUM(AG54:AG61)</f>
        <v>0</v>
      </c>
      <c r="AH62" s="142">
        <f>SUM(AF62:AG62)</f>
        <v>0</v>
      </c>
      <c r="AI62" s="10"/>
      <c r="AJ62" s="9">
        <f t="shared" ref="AJ62" si="82">SUM(AJ54:AJ61)</f>
        <v>0</v>
      </c>
      <c r="AK62" s="9">
        <f t="shared" ref="AK62" si="83">SUM(AK54:AK61)</f>
        <v>0</v>
      </c>
      <c r="AL62" s="9">
        <f t="shared" ref="AL62" si="84">SUM(AL54:AL61)</f>
        <v>0</v>
      </c>
      <c r="AM62" s="9">
        <f t="shared" ref="AM62" si="85">SUM(AM54:AM61)</f>
        <v>0</v>
      </c>
      <c r="AN62" s="9">
        <f t="shared" ref="AN62" si="86">SUM(AN54:AN61)</f>
        <v>0</v>
      </c>
      <c r="AO62" s="9">
        <f t="shared" ref="AO62" si="87">SUM(AO54:AO61)</f>
        <v>0</v>
      </c>
      <c r="AP62" s="9">
        <f t="shared" ref="AP62" si="88">SUM(AP54:AP61)</f>
        <v>0</v>
      </c>
      <c r="AQ62" s="9">
        <f t="shared" ref="AQ62" si="89">SUM(AQ54:AQ61)</f>
        <v>0</v>
      </c>
      <c r="AR62" s="9">
        <f t="shared" ref="AR62" si="90">SUM(AR54:AR61)</f>
        <v>0</v>
      </c>
      <c r="AS62" s="9">
        <f t="shared" ref="AS62" si="91">SUM(AS54:AS61)</f>
        <v>0</v>
      </c>
      <c r="AT62" s="9">
        <f t="shared" ref="AT62" si="92">SUM(AT54:AT61)</f>
        <v>0</v>
      </c>
      <c r="AU62" s="9">
        <f t="shared" ref="AU62" si="93">SUM(AU54:AU61)</f>
        <v>0</v>
      </c>
      <c r="AV62" s="474">
        <f t="shared" ref="AV62" si="94">SUM(AV54:AV61)</f>
        <v>0</v>
      </c>
      <c r="AW62" s="142">
        <f>SUM(AJ62:AV62)</f>
        <v>0</v>
      </c>
      <c r="AX62" s="473"/>
      <c r="AY62" s="142">
        <f>SUM(AY54:AY61)</f>
        <v>0</v>
      </c>
      <c r="AZ62" s="473"/>
      <c r="BA62" s="9"/>
      <c r="BB62" s="10"/>
      <c r="BC62" s="10"/>
      <c r="BD62" s="10"/>
      <c r="BE62" s="10"/>
      <c r="BF62" s="10"/>
      <c r="BG62" s="10"/>
      <c r="BH62" s="10"/>
      <c r="BI62" s="10"/>
      <c r="BJ62" s="10"/>
      <c r="BK62" s="10">
        <f>SUM(BK54:BK61)</f>
        <v>0</v>
      </c>
      <c r="BL62" s="10">
        <f t="shared" ref="BL62:BR62" si="95">SUM(BL54:BL61)</f>
        <v>0</v>
      </c>
      <c r="BM62" s="10">
        <f t="shared" si="95"/>
        <v>0</v>
      </c>
      <c r="BN62" s="10">
        <f t="shared" si="95"/>
        <v>0</v>
      </c>
      <c r="BO62" s="10">
        <f t="shared" si="95"/>
        <v>0</v>
      </c>
      <c r="BP62" s="10">
        <f t="shared" si="95"/>
        <v>0</v>
      </c>
      <c r="BQ62" s="10">
        <f t="shared" si="95"/>
        <v>0</v>
      </c>
      <c r="BR62" s="148">
        <f t="shared" si="95"/>
        <v>0</v>
      </c>
      <c r="BS62" s="140">
        <f>SUM(BK62:BQ62)</f>
        <v>0</v>
      </c>
      <c r="BT62" s="10"/>
      <c r="BU62" s="10">
        <f t="shared" ref="BU62" si="96">SUM(BU54:BU61)</f>
        <v>0</v>
      </c>
      <c r="BV62" s="10">
        <f t="shared" ref="BV62" si="97">SUM(BV54:BV61)</f>
        <v>0</v>
      </c>
      <c r="BW62" s="142">
        <f>SUM(BU62:BV62)</f>
        <v>0</v>
      </c>
      <c r="BX62" s="10"/>
      <c r="BY62" s="10">
        <f t="shared" ref="BY62:CG62" si="98">SUM(BY54:BY61)</f>
        <v>0</v>
      </c>
      <c r="BZ62" s="10">
        <f t="shared" si="98"/>
        <v>0</v>
      </c>
      <c r="CA62" s="10">
        <f t="shared" si="98"/>
        <v>0</v>
      </c>
      <c r="CB62" s="10">
        <f t="shared" si="98"/>
        <v>0</v>
      </c>
      <c r="CC62" s="10">
        <f t="shared" si="98"/>
        <v>0</v>
      </c>
      <c r="CD62" s="10">
        <f t="shared" si="98"/>
        <v>0</v>
      </c>
      <c r="CE62" s="10">
        <f t="shared" si="98"/>
        <v>0</v>
      </c>
      <c r="CF62" s="10">
        <f t="shared" si="98"/>
        <v>0</v>
      </c>
      <c r="CG62" s="10">
        <f t="shared" si="98"/>
        <v>0</v>
      </c>
      <c r="CH62" s="142">
        <f>SUM(BY62:CG62)</f>
        <v>0</v>
      </c>
      <c r="CI62" s="10"/>
      <c r="CJ62" s="10">
        <f>SUM(CJ54:CJ61)</f>
        <v>0</v>
      </c>
      <c r="CK62" s="10">
        <f t="shared" ref="CK62:CZ62" si="99">SUM(CK54:CK61)</f>
        <v>0</v>
      </c>
      <c r="CL62" s="10">
        <f t="shared" si="99"/>
        <v>0</v>
      </c>
      <c r="CM62" s="10">
        <f t="shared" si="99"/>
        <v>0</v>
      </c>
      <c r="CN62" s="10">
        <f t="shared" si="99"/>
        <v>0</v>
      </c>
      <c r="CO62" s="10">
        <f t="shared" si="99"/>
        <v>0</v>
      </c>
      <c r="CP62" s="10">
        <f t="shared" si="99"/>
        <v>0</v>
      </c>
      <c r="CQ62" s="10">
        <f t="shared" si="99"/>
        <v>0</v>
      </c>
      <c r="CR62" s="10">
        <f t="shared" si="99"/>
        <v>0</v>
      </c>
      <c r="CS62" s="10">
        <f t="shared" si="99"/>
        <v>0</v>
      </c>
      <c r="CT62" s="10">
        <f t="shared" si="99"/>
        <v>0</v>
      </c>
      <c r="CU62" s="10">
        <f t="shared" si="99"/>
        <v>0</v>
      </c>
      <c r="CV62" s="10">
        <f t="shared" si="99"/>
        <v>0</v>
      </c>
      <c r="CW62" s="10">
        <f t="shared" si="99"/>
        <v>0</v>
      </c>
      <c r="CX62" s="10">
        <f t="shared" si="99"/>
        <v>0</v>
      </c>
      <c r="CY62" s="10">
        <f t="shared" si="99"/>
        <v>0</v>
      </c>
      <c r="CZ62" s="223">
        <f t="shared" si="99"/>
        <v>0</v>
      </c>
      <c r="DA62" s="140">
        <f>SUM(CJ62:CY62)</f>
        <v>0</v>
      </c>
      <c r="DB62" s="5"/>
      <c r="DC62" s="5"/>
      <c r="DD62" s="5"/>
      <c r="DE62" s="5"/>
      <c r="DF62" s="5"/>
      <c r="DG62" s="5"/>
      <c r="DH62" s="5"/>
      <c r="DI62" s="5"/>
      <c r="DJ62" s="5"/>
      <c r="DK62" s="10"/>
      <c r="DL62" s="5"/>
      <c r="DM62" s="5"/>
      <c r="DN62" s="5"/>
      <c r="DO62" s="5"/>
      <c r="DP62" s="5"/>
      <c r="DQ62" s="5"/>
      <c r="DR62" s="5"/>
      <c r="DS62" s="5"/>
    </row>
    <row r="63" spans="2:140 16310:16310" s="11" customFormat="1" ht="10.050000000000001" customHeight="1" thickBo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9"/>
      <c r="O63" s="9"/>
      <c r="P63" s="9"/>
      <c r="Q63" s="9"/>
      <c r="R63" s="9"/>
      <c r="S63" s="9"/>
      <c r="T63" s="9"/>
      <c r="U63" s="9"/>
      <c r="V63" s="9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225"/>
      <c r="AW63" s="22"/>
      <c r="AX63" s="259"/>
      <c r="AY63" s="22"/>
      <c r="AZ63" s="259"/>
      <c r="BA63" s="259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5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5"/>
      <c r="DC63" s="5"/>
      <c r="DD63" s="5"/>
      <c r="DE63" s="5"/>
      <c r="DF63" s="5"/>
      <c r="DG63" s="5"/>
      <c r="DH63" s="5"/>
      <c r="DI63" s="5"/>
      <c r="DJ63" s="5"/>
      <c r="DK63" s="10"/>
      <c r="DL63" s="5"/>
      <c r="DM63" s="5"/>
      <c r="DN63" s="5"/>
      <c r="DO63" s="5"/>
      <c r="DP63" s="5"/>
      <c r="DQ63" s="5"/>
      <c r="DR63" s="5"/>
      <c r="DS63" s="5"/>
      <c r="EJ63" s="407"/>
    </row>
    <row r="64" spans="2:140 16310:16310" s="11" customFormat="1" ht="12.45" customHeight="1" x14ac:dyDescent="0.2">
      <c r="B64" s="111" t="s">
        <v>123</v>
      </c>
      <c r="C64" s="114"/>
      <c r="D64" s="327" t="s">
        <v>163</v>
      </c>
      <c r="E64" s="363"/>
      <c r="F64" s="363"/>
      <c r="G64" s="363"/>
      <c r="H64" s="363"/>
      <c r="I64" s="363"/>
      <c r="J64" s="363"/>
      <c r="K64" s="363"/>
      <c r="L64" s="365"/>
      <c r="M64" s="168">
        <f>COUNTIF(SEGUIMIENTO!AA$23:AA$122,"JAC")</f>
        <v>0</v>
      </c>
      <c r="N64" s="22"/>
      <c r="O64" s="169">
        <f>+BK16</f>
        <v>0</v>
      </c>
      <c r="P64" s="14">
        <f>+BK17</f>
        <v>0</v>
      </c>
      <c r="Q64" s="184">
        <f>+BK18</f>
        <v>0</v>
      </c>
      <c r="R64" s="14">
        <f>+BK19</f>
        <v>0</v>
      </c>
      <c r="S64" s="186">
        <f>+BK20</f>
        <v>0</v>
      </c>
      <c r="T64" s="13">
        <f>+BK21</f>
        <v>0</v>
      </c>
      <c r="U64" s="22"/>
      <c r="V64" s="22"/>
      <c r="W64" s="169">
        <f>+BK24</f>
        <v>0</v>
      </c>
      <c r="X64" s="14">
        <f>+BK25</f>
        <v>0</v>
      </c>
      <c r="Y64" s="184">
        <f>+BK26</f>
        <v>0</v>
      </c>
      <c r="Z64" s="14">
        <f>+BK27</f>
        <v>0</v>
      </c>
      <c r="AA64" s="186">
        <f>+BK28</f>
        <v>0</v>
      </c>
      <c r="AB64" s="14">
        <f>+BK29</f>
        <v>0</v>
      </c>
      <c r="AC64" s="191">
        <f>+BK30</f>
        <v>0</v>
      </c>
      <c r="AD64" s="22"/>
      <c r="AE64" s="22"/>
      <c r="AF64" s="169">
        <f>+BK33</f>
        <v>0</v>
      </c>
      <c r="AG64" s="13">
        <f>+BK34</f>
        <v>0</v>
      </c>
      <c r="AH64" s="22"/>
      <c r="AI64" s="22"/>
      <c r="AJ64" s="169">
        <f>+BK37</f>
        <v>0</v>
      </c>
      <c r="AK64" s="14">
        <f>+BK38</f>
        <v>0</v>
      </c>
      <c r="AL64" s="184">
        <f>+BK39</f>
        <v>0</v>
      </c>
      <c r="AM64" s="14">
        <f>+BK40</f>
        <v>0</v>
      </c>
      <c r="AN64" s="186">
        <f>+BK41</f>
        <v>0</v>
      </c>
      <c r="AO64" s="14">
        <f>+BK42</f>
        <v>0</v>
      </c>
      <c r="AP64" s="267">
        <f>+BK43</f>
        <v>0</v>
      </c>
      <c r="AQ64" s="158">
        <f>+BK44</f>
        <v>0</v>
      </c>
      <c r="AR64" s="260">
        <f>+BK45</f>
        <v>0</v>
      </c>
      <c r="AS64" s="158">
        <f>+BK46</f>
        <v>0</v>
      </c>
      <c r="AT64" s="261">
        <f>+BK47</f>
        <v>0</v>
      </c>
      <c r="AU64" s="158">
        <f>+BK48</f>
        <v>0</v>
      </c>
      <c r="AV64" s="262">
        <f>+BK49</f>
        <v>0</v>
      </c>
      <c r="AW64" s="22"/>
      <c r="AX64" s="22"/>
      <c r="AY64" s="192">
        <f>+BK52</f>
        <v>0</v>
      </c>
      <c r="AZ64" s="22"/>
      <c r="BA64" s="169">
        <f>+BK54</f>
        <v>0</v>
      </c>
      <c r="BB64" s="14">
        <f>+BK55</f>
        <v>0</v>
      </c>
      <c r="BC64" s="184">
        <f>+BK56</f>
        <v>0</v>
      </c>
      <c r="BD64" s="14">
        <f>+BK57</f>
        <v>0</v>
      </c>
      <c r="BE64" s="186">
        <f>+BK58</f>
        <v>0</v>
      </c>
      <c r="BF64" s="14">
        <f>+BK59</f>
        <v>0</v>
      </c>
      <c r="BG64" s="267">
        <f>+BK60</f>
        <v>0</v>
      </c>
      <c r="BH64" s="159">
        <f>+BK61</f>
        <v>0</v>
      </c>
      <c r="BI64" s="22"/>
      <c r="BJ64" s="22"/>
      <c r="BK64" s="156"/>
      <c r="BL64" s="156"/>
      <c r="BM64" s="156"/>
      <c r="BN64" s="156"/>
      <c r="BO64" s="156"/>
      <c r="BP64" s="156"/>
      <c r="BQ64" s="156"/>
      <c r="BR64" s="156"/>
      <c r="BS64" s="22"/>
      <c r="BT64" s="22"/>
      <c r="BU64" s="232">
        <f>COUNTIFS(SEGUIMIENTO!$AA$23:$AA$122,"JAC",SEGUIMIENTO!$AB$23:$AB$122,"RUR")</f>
        <v>0</v>
      </c>
      <c r="BV64" s="171">
        <f>COUNTIFS(SEGUIMIENTO!$AA$23:$AA$122,"JAC",SEGUIMIENTO!$AB$23:$AB$122,"URB")</f>
        <v>0</v>
      </c>
      <c r="BW64" s="22"/>
      <c r="BX64" s="22"/>
      <c r="BY64" s="232">
        <f>COUNTIFS(SEGUIMIENTO!$AA$23:$AA$122,"JAC",SEGUIMIENTO!$AD$23:$AD$122,"1")</f>
        <v>0</v>
      </c>
      <c r="BZ64" s="170">
        <f>COUNTIFS(SEGUIMIENTO!$AA$23:$AA$122,"JAC",SEGUIMIENTO!$AD$23:$AD$122,"2")</f>
        <v>0</v>
      </c>
      <c r="CA64" s="246">
        <f>COUNTIFS(SEGUIMIENTO!$AA$23:$AA$122,"JAC",SEGUIMIENTO!$AD$23:$AD$122,"3")</f>
        <v>0</v>
      </c>
      <c r="CB64" s="246">
        <f>COUNTIFS(SEGUIMIENTO!$AA$23:$AA$122,"JAC",SEGUIMIENTO!$AD$23:$AD$122,"4")</f>
        <v>0</v>
      </c>
      <c r="CC64" s="246">
        <f>COUNTIFS(SEGUIMIENTO!$AA$23:$AA$122,"JAC",SEGUIMIENTO!$AD$23:$AD$122,"5")</f>
        <v>0</v>
      </c>
      <c r="CD64" s="246">
        <f>COUNTIFS(SEGUIMIENTO!$AA$23:$AA$122,"JAC",SEGUIMIENTO!$AD$23:$AD$122,"6")</f>
        <v>0</v>
      </c>
      <c r="CE64" s="246">
        <f>COUNTIFS(SEGUIMIENTO!$AA$23:$AA$122,"JAC",SEGUIMIENTO!$AD$23:$AD$122,"7")</f>
        <v>0</v>
      </c>
      <c r="CF64" s="246">
        <f>COUNTIFS(SEGUIMIENTO!$AA$23:$AA$122,"JAC",SEGUIMIENTO!$AD$23:$AD$122,"8")</f>
        <v>0</v>
      </c>
      <c r="CG64" s="247">
        <f>COUNTIFS(SEGUIMIENTO!$AA$23:$AA$122,"JAC",SEGUIMIENTO!$AD$23:$AD$122,"9")</f>
        <v>0</v>
      </c>
      <c r="CH64" s="22"/>
      <c r="CI64" s="22"/>
      <c r="CJ64" s="169">
        <f>+BK89</f>
        <v>0</v>
      </c>
      <c r="CK64" s="14">
        <f>+BK90</f>
        <v>0</v>
      </c>
      <c r="CL64" s="184">
        <f>+BK91</f>
        <v>0</v>
      </c>
      <c r="CM64" s="14">
        <f>+BK92</f>
        <v>0</v>
      </c>
      <c r="CN64" s="186">
        <f>+BK93</f>
        <v>0</v>
      </c>
      <c r="CO64" s="14">
        <f>+BK94</f>
        <v>0</v>
      </c>
      <c r="CP64" s="287">
        <f>+BK95</f>
        <v>0</v>
      </c>
      <c r="CQ64" s="158">
        <f>+BK96</f>
        <v>0</v>
      </c>
      <c r="CR64" s="260">
        <f>+BK97</f>
        <v>0</v>
      </c>
      <c r="CS64" s="14">
        <f>+BK98</f>
        <v>0</v>
      </c>
      <c r="CT64" s="261">
        <f>+BK99</f>
        <v>0</v>
      </c>
      <c r="CU64" s="14">
        <f>+BK100</f>
        <v>0</v>
      </c>
      <c r="CV64" s="272">
        <f>+BK101</f>
        <v>0</v>
      </c>
      <c r="CW64" s="14">
        <f>+BK102</f>
        <v>0</v>
      </c>
      <c r="CX64" s="273">
        <f>+BK103</f>
        <v>0</v>
      </c>
      <c r="CY64" s="158">
        <f>+BK104</f>
        <v>0</v>
      </c>
      <c r="CZ64" s="275">
        <f>+BK105</f>
        <v>0</v>
      </c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10"/>
      <c r="DL64" s="5"/>
      <c r="DM64" s="5"/>
      <c r="DN64" s="5"/>
      <c r="DO64" s="5"/>
      <c r="DP64" s="5"/>
      <c r="DQ64" s="5"/>
      <c r="DR64" s="5"/>
      <c r="DS64" s="5"/>
      <c r="EJ64" s="10"/>
      <c r="XCH64" s="11">
        <f>SUM(A64:XCG64)</f>
        <v>0</v>
      </c>
    </row>
    <row r="65" spans="2:140" s="11" customFormat="1" ht="12.45" customHeight="1" x14ac:dyDescent="0.2">
      <c r="B65" s="112"/>
      <c r="C65" s="115"/>
      <c r="D65" s="296" t="s">
        <v>158</v>
      </c>
      <c r="E65" s="304"/>
      <c r="F65" s="304"/>
      <c r="G65" s="304"/>
      <c r="H65" s="304"/>
      <c r="I65" s="304"/>
      <c r="J65" s="304"/>
      <c r="K65" s="304"/>
      <c r="L65" s="366"/>
      <c r="M65" s="157">
        <f>COUNTIF(SEGUIMIENTO!AA$23:AA$122,"JAL")</f>
        <v>0</v>
      </c>
      <c r="N65" s="22"/>
      <c r="O65" s="182">
        <f>+BL16</f>
        <v>0</v>
      </c>
      <c r="P65" s="55">
        <f>+BL17</f>
        <v>0</v>
      </c>
      <c r="Q65" s="166">
        <f>+BL18</f>
        <v>0</v>
      </c>
      <c r="R65" s="55">
        <f>+BL19</f>
        <v>0</v>
      </c>
      <c r="S65" s="161">
        <f>+BL20</f>
        <v>0</v>
      </c>
      <c r="T65" s="16">
        <f>+BL21</f>
        <v>0</v>
      </c>
      <c r="U65" s="22"/>
      <c r="V65" s="22"/>
      <c r="W65" s="182">
        <f>+BL24</f>
        <v>0</v>
      </c>
      <c r="X65" s="55">
        <f>+BL25</f>
        <v>0</v>
      </c>
      <c r="Y65" s="166">
        <f>+BL26</f>
        <v>0</v>
      </c>
      <c r="Z65" s="55">
        <f>+BL27</f>
        <v>0</v>
      </c>
      <c r="AA65" s="161">
        <f>+BL28</f>
        <v>0</v>
      </c>
      <c r="AB65" s="55">
        <f>+BL29</f>
        <v>0</v>
      </c>
      <c r="AC65" s="198">
        <f>+BL30</f>
        <v>0</v>
      </c>
      <c r="AD65" s="22"/>
      <c r="AE65" s="22"/>
      <c r="AF65" s="182">
        <f>+BL33</f>
        <v>0</v>
      </c>
      <c r="AG65" s="16">
        <f>+BL34</f>
        <v>0</v>
      </c>
      <c r="AH65" s="22"/>
      <c r="AI65" s="22"/>
      <c r="AJ65" s="182">
        <f>+BL37</f>
        <v>0</v>
      </c>
      <c r="AK65" s="55">
        <f>+BL38</f>
        <v>0</v>
      </c>
      <c r="AL65" s="166">
        <f>+BL39</f>
        <v>0</v>
      </c>
      <c r="AM65" s="55">
        <f>+BL40</f>
        <v>0</v>
      </c>
      <c r="AN65" s="161">
        <f>+BL41</f>
        <v>0</v>
      </c>
      <c r="AO65" s="55">
        <f>+BL42</f>
        <v>0</v>
      </c>
      <c r="AP65" s="207">
        <f>+BL43</f>
        <v>0</v>
      </c>
      <c r="AQ65" s="150">
        <f>+BL44</f>
        <v>0</v>
      </c>
      <c r="AR65" s="209">
        <f>+BL45</f>
        <v>0</v>
      </c>
      <c r="AS65" s="150">
        <f>+BL46</f>
        <v>0</v>
      </c>
      <c r="AT65" s="211">
        <f>+BL47</f>
        <v>0</v>
      </c>
      <c r="AU65" s="150">
        <f>+BL48</f>
        <v>0</v>
      </c>
      <c r="AV65" s="201">
        <f>+BL49</f>
        <v>0</v>
      </c>
      <c r="AW65" s="22"/>
      <c r="AX65" s="22"/>
      <c r="AY65" s="270">
        <f>+BL52</f>
        <v>0</v>
      </c>
      <c r="AZ65" s="22"/>
      <c r="BA65" s="182">
        <f>+BL54</f>
        <v>0</v>
      </c>
      <c r="BB65" s="55">
        <f>+BL55</f>
        <v>0</v>
      </c>
      <c r="BC65" s="166">
        <f>+BL56</f>
        <v>0</v>
      </c>
      <c r="BD65" s="55">
        <f>+BL57</f>
        <v>0</v>
      </c>
      <c r="BE65" s="161">
        <f>+BL58</f>
        <v>0</v>
      </c>
      <c r="BF65" s="55">
        <f>+BL59</f>
        <v>0</v>
      </c>
      <c r="BG65" s="207">
        <f>+BL60</f>
        <v>0</v>
      </c>
      <c r="BH65" s="151">
        <f>+BL61</f>
        <v>0</v>
      </c>
      <c r="BI65" s="22"/>
      <c r="BJ65" s="22"/>
      <c r="BK65" s="156"/>
      <c r="BL65" s="156"/>
      <c r="BM65" s="156"/>
      <c r="BN65" s="156"/>
      <c r="BO65" s="156"/>
      <c r="BP65" s="156"/>
      <c r="BQ65" s="156"/>
      <c r="BR65" s="156"/>
      <c r="BS65" s="22"/>
      <c r="BT65" s="22"/>
      <c r="BU65" s="149">
        <f>COUNTIFS(SEGUIMIENTO!$AA$23:$AA$122,"JAL",SEGUIMIENTO!$AB$23:$AB$122,"RUR")</f>
        <v>0</v>
      </c>
      <c r="BV65" s="151">
        <f>COUNTIFS(SEGUIMIENTO!$AA$23:$AA$122,"JAL",SEGUIMIENTO!$AB$23:$AB$122,"URB")</f>
        <v>0</v>
      </c>
      <c r="BW65" s="22"/>
      <c r="BX65" s="22"/>
      <c r="BY65" s="149">
        <f>COUNTIFS(SEGUIMIENTO!$AA$23:$AA$122,"JAL",SEGUIMIENTO!$AD$23:$AD$122,"1")</f>
        <v>0</v>
      </c>
      <c r="BZ65" s="150">
        <f>COUNTIFS(SEGUIMIENTO!$AA$23:$AA$122,"JAL",SEGUIMIENTO!$AD$23:$AD$122,"2")</f>
        <v>0</v>
      </c>
      <c r="CA65" s="150">
        <f>COUNTIFS(SEGUIMIENTO!$AA$23:$AA$122,"JAL",SEGUIMIENTO!$AD$23:$AD$122,"3")</f>
        <v>0</v>
      </c>
      <c r="CB65" s="150">
        <f>COUNTIFS(SEGUIMIENTO!$AA$23:$AA$122,"JAL",SEGUIMIENTO!$AD$23:$AD$122,"4")</f>
        <v>0</v>
      </c>
      <c r="CC65" s="150">
        <f>COUNTIFS(SEGUIMIENTO!$AA$23:$AA$122,"JAL",SEGUIMIENTO!$AD$23:$AD$122,"5")</f>
        <v>0</v>
      </c>
      <c r="CD65" s="150">
        <f>COUNTIFS(SEGUIMIENTO!$AA$23:$AA$122,"JAL",SEGUIMIENTO!$AD$23:$AD$122,"6")</f>
        <v>0</v>
      </c>
      <c r="CE65" s="150">
        <f>COUNTIFS(SEGUIMIENTO!$AA$23:$AA$122,"JAL",SEGUIMIENTO!$AD$23:$AD$122,"7")</f>
        <v>0</v>
      </c>
      <c r="CF65" s="150">
        <f>COUNTIFS(SEGUIMIENTO!$AA$23:$AA$122,"JAL",SEGUIMIENTO!$AD$23:$AD$122,"8")</f>
        <v>0</v>
      </c>
      <c r="CG65" s="151">
        <f>COUNTIFS(SEGUIMIENTO!$AA$23:$AA$122,"JAL",SEGUIMIENTO!$AD$23:$AD$122,"9")</f>
        <v>0</v>
      </c>
      <c r="CH65" s="22"/>
      <c r="CI65" s="22"/>
      <c r="CJ65" s="182">
        <f>+BL89</f>
        <v>0</v>
      </c>
      <c r="CK65" s="55">
        <f>+BL90</f>
        <v>0</v>
      </c>
      <c r="CL65" s="166">
        <f>+BL91</f>
        <v>0</v>
      </c>
      <c r="CM65" s="55">
        <f>+BL92</f>
        <v>0</v>
      </c>
      <c r="CN65" s="161">
        <f>+BL93</f>
        <v>0</v>
      </c>
      <c r="CO65" s="55">
        <f>+BL94</f>
        <v>0</v>
      </c>
      <c r="CP65" s="207">
        <f>+BL95</f>
        <v>0</v>
      </c>
      <c r="CQ65" s="150">
        <f>+BL96</f>
        <v>0</v>
      </c>
      <c r="CR65" s="209">
        <f>+BL97</f>
        <v>0</v>
      </c>
      <c r="CS65" s="55">
        <f>+BL98</f>
        <v>0</v>
      </c>
      <c r="CT65" s="211">
        <f>+BL99</f>
        <v>0</v>
      </c>
      <c r="CU65" s="55">
        <f>+BL100</f>
        <v>0</v>
      </c>
      <c r="CV65" s="215">
        <f>+BL101</f>
        <v>0</v>
      </c>
      <c r="CW65" s="55">
        <f>+BL102</f>
        <v>0</v>
      </c>
      <c r="CX65" s="245">
        <f>+BL103</f>
        <v>0</v>
      </c>
      <c r="CY65" s="150">
        <f>+BL104</f>
        <v>0</v>
      </c>
      <c r="CZ65" s="231">
        <f>+BL105</f>
        <v>0</v>
      </c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10"/>
      <c r="DL65" s="5"/>
      <c r="DM65" s="5"/>
      <c r="DN65" s="5"/>
      <c r="DO65" s="5"/>
      <c r="DP65" s="5"/>
      <c r="DQ65" s="5"/>
      <c r="DR65" s="5"/>
      <c r="DS65" s="5"/>
      <c r="EJ65" s="9"/>
    </row>
    <row r="66" spans="2:140" s="11" customFormat="1" ht="12.45" customHeight="1" x14ac:dyDescent="0.2">
      <c r="B66" s="112"/>
      <c r="C66" s="115"/>
      <c r="D66" s="328" t="s">
        <v>159</v>
      </c>
      <c r="E66" s="334"/>
      <c r="F66" s="334"/>
      <c r="G66" s="334"/>
      <c r="H66" s="334"/>
      <c r="I66" s="334"/>
      <c r="J66" s="334"/>
      <c r="K66" s="334"/>
      <c r="L66" s="367"/>
      <c r="M66" s="167">
        <f>COUNTIF(SEGUIMIENTO!AA$23:AA$122,"AMB")</f>
        <v>0</v>
      </c>
      <c r="N66" s="22"/>
      <c r="O66" s="182">
        <f>+BM16</f>
        <v>0</v>
      </c>
      <c r="P66" s="55">
        <f>+BM17</f>
        <v>0</v>
      </c>
      <c r="Q66" s="166">
        <f>+BM18</f>
        <v>0</v>
      </c>
      <c r="R66" s="55">
        <f>+BM19</f>
        <v>0</v>
      </c>
      <c r="S66" s="161">
        <f>+BM20</f>
        <v>0</v>
      </c>
      <c r="T66" s="16">
        <f>+BM21</f>
        <v>0</v>
      </c>
      <c r="U66" s="22"/>
      <c r="V66" s="22"/>
      <c r="W66" s="182">
        <f>+BM24</f>
        <v>0</v>
      </c>
      <c r="X66" s="55">
        <f>+BM25</f>
        <v>0</v>
      </c>
      <c r="Y66" s="166">
        <f>+BM26</f>
        <v>0</v>
      </c>
      <c r="Z66" s="55">
        <f>+BM27</f>
        <v>0</v>
      </c>
      <c r="AA66" s="161">
        <f>+BM28</f>
        <v>0</v>
      </c>
      <c r="AB66" s="55">
        <f>+BM29</f>
        <v>0</v>
      </c>
      <c r="AC66" s="198">
        <f>+BM30</f>
        <v>0</v>
      </c>
      <c r="AD66" s="22"/>
      <c r="AE66" s="22"/>
      <c r="AF66" s="182">
        <f>+BM33</f>
        <v>0</v>
      </c>
      <c r="AG66" s="16">
        <f>+BM34</f>
        <v>0</v>
      </c>
      <c r="AH66" s="22"/>
      <c r="AI66" s="22"/>
      <c r="AJ66" s="182">
        <f>+BM37</f>
        <v>0</v>
      </c>
      <c r="AK66" s="55">
        <f>+BM38</f>
        <v>0</v>
      </c>
      <c r="AL66" s="166">
        <f>+BM39</f>
        <v>0</v>
      </c>
      <c r="AM66" s="55">
        <f>+BM40</f>
        <v>0</v>
      </c>
      <c r="AN66" s="161">
        <f>+BM41</f>
        <v>0</v>
      </c>
      <c r="AO66" s="55">
        <f>+BM42</f>
        <v>0</v>
      </c>
      <c r="AP66" s="207">
        <f>+BM43</f>
        <v>0</v>
      </c>
      <c r="AQ66" s="150">
        <f>+BM44</f>
        <v>0</v>
      </c>
      <c r="AR66" s="209">
        <f>+BM45</f>
        <v>0</v>
      </c>
      <c r="AS66" s="150">
        <f>+BM46</f>
        <v>0</v>
      </c>
      <c r="AT66" s="211">
        <f>+BM47</f>
        <v>0</v>
      </c>
      <c r="AU66" s="150">
        <f>+BM48</f>
        <v>0</v>
      </c>
      <c r="AV66" s="201">
        <f>+BM49</f>
        <v>0</v>
      </c>
      <c r="AW66" s="22"/>
      <c r="AX66" s="22"/>
      <c r="AY66" s="270">
        <f>+BM52</f>
        <v>0</v>
      </c>
      <c r="AZ66" s="22"/>
      <c r="BA66" s="182">
        <f>+BM54</f>
        <v>0</v>
      </c>
      <c r="BB66" s="55">
        <f>+BM55</f>
        <v>0</v>
      </c>
      <c r="BC66" s="166">
        <f>+BM56</f>
        <v>0</v>
      </c>
      <c r="BD66" s="55">
        <f>+BM57</f>
        <v>0</v>
      </c>
      <c r="BE66" s="161">
        <f>+BM58</f>
        <v>0</v>
      </c>
      <c r="BF66" s="55">
        <f>+BM59</f>
        <v>0</v>
      </c>
      <c r="BG66" s="207">
        <f>+BM60</f>
        <v>0</v>
      </c>
      <c r="BH66" s="151">
        <f>+BM61</f>
        <v>0</v>
      </c>
      <c r="BI66" s="22"/>
      <c r="BJ66" s="22"/>
      <c r="BK66" s="156"/>
      <c r="BL66" s="156"/>
      <c r="BM66" s="156"/>
      <c r="BN66" s="156"/>
      <c r="BO66" s="156"/>
      <c r="BP66" s="156"/>
      <c r="BQ66" s="156"/>
      <c r="BR66" s="156"/>
      <c r="BS66" s="22"/>
      <c r="BT66" s="22"/>
      <c r="BU66" s="233">
        <f>COUNTIFS(SEGUIMIENTO!$AA$23:$AA$122,"AMB",SEGUIMIENTO!$AB$23:$AB$122,"RUR")</f>
        <v>0</v>
      </c>
      <c r="BV66" s="165">
        <f>COUNTIFS(SEGUIMIENTO!$AA$23:$AA$122,"AMB",SEGUIMIENTO!$AB$23:$AB$122,"URB")</f>
        <v>0</v>
      </c>
      <c r="BW66" s="22"/>
      <c r="BX66" s="22"/>
      <c r="BY66" s="233">
        <f>COUNTIFS(SEGUIMIENTO!$AA$23:$AA$122,"AMB",SEGUIMIENTO!$AD$23:$AD$122,"1")</f>
        <v>0</v>
      </c>
      <c r="BZ66" s="166">
        <f>COUNTIFS(SEGUIMIENTO!$AA$23:$AA$122,"AMB",SEGUIMIENTO!$AD$23:$AD$122,"2")</f>
        <v>0</v>
      </c>
      <c r="CA66" s="239">
        <f>COUNTIFS(SEGUIMIENTO!$AA$23:$AA$122,"AMB",SEGUIMIENTO!$AD$23:$AD$122,"3")</f>
        <v>0</v>
      </c>
      <c r="CB66" s="239">
        <f>COUNTIFS(SEGUIMIENTO!$AA$23:$AA$122,"AMB",SEGUIMIENTO!$AD$23:$AD$122,"4")</f>
        <v>0</v>
      </c>
      <c r="CC66" s="239">
        <f>COUNTIFS(SEGUIMIENTO!$AA$23:$AA$122,"AMB",SEGUIMIENTO!$AD$23:$AD$122,"5")</f>
        <v>0</v>
      </c>
      <c r="CD66" s="239">
        <f>COUNTIFS(SEGUIMIENTO!$AA$23:$AA$122,"AMB",SEGUIMIENTO!$AD$23:$AD$122,"6")</f>
        <v>0</v>
      </c>
      <c r="CE66" s="239">
        <f>COUNTIFS(SEGUIMIENTO!$AA$23:$AA$122,"AMB",SEGUIMIENTO!$AD$23:$AD$122,"7")</f>
        <v>0</v>
      </c>
      <c r="CF66" s="239">
        <f>COUNTIFS(SEGUIMIENTO!$AA$23:$AA$122,"AMB",SEGUIMIENTO!$AD$23:$AD$122,"8")</f>
        <v>0</v>
      </c>
      <c r="CG66" s="248">
        <f>COUNTIFS(SEGUIMIENTO!$AA$23:$AA$122,"AMB",SEGUIMIENTO!$AD$23:$AD$122,"9")</f>
        <v>0</v>
      </c>
      <c r="CH66" s="22"/>
      <c r="CI66" s="22"/>
      <c r="CJ66" s="182">
        <f>+BM89</f>
        <v>0</v>
      </c>
      <c r="CK66" s="55">
        <f>+BM90</f>
        <v>0</v>
      </c>
      <c r="CL66" s="166">
        <f>+BM91</f>
        <v>0</v>
      </c>
      <c r="CM66" s="55">
        <f>+BM92</f>
        <v>0</v>
      </c>
      <c r="CN66" s="161">
        <f>+BM93</f>
        <v>0</v>
      </c>
      <c r="CO66" s="55">
        <f>+BM94</f>
        <v>0</v>
      </c>
      <c r="CP66" s="288">
        <f>+BM95</f>
        <v>0</v>
      </c>
      <c r="CQ66" s="150">
        <f>+BM96</f>
        <v>0</v>
      </c>
      <c r="CR66" s="209">
        <f>+BM97</f>
        <v>0</v>
      </c>
      <c r="CS66" s="55">
        <f>+BM98</f>
        <v>0</v>
      </c>
      <c r="CT66" s="211">
        <f>+BM99</f>
        <v>0</v>
      </c>
      <c r="CU66" s="55">
        <f>+BM100</f>
        <v>0</v>
      </c>
      <c r="CV66" s="215">
        <f>+BM101</f>
        <v>0</v>
      </c>
      <c r="CW66" s="55">
        <f>+BM102</f>
        <v>0</v>
      </c>
      <c r="CX66" s="245">
        <f>+BM103</f>
        <v>0</v>
      </c>
      <c r="CY66" s="150">
        <f>+BM104</f>
        <v>0</v>
      </c>
      <c r="CZ66" s="231">
        <f>+BM105</f>
        <v>0</v>
      </c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10"/>
      <c r="DL66" s="5"/>
      <c r="DM66" s="5"/>
      <c r="DN66" s="5"/>
      <c r="DO66" s="5"/>
      <c r="DP66" s="5"/>
      <c r="DQ66" s="5"/>
      <c r="DR66" s="5"/>
      <c r="DS66" s="5"/>
      <c r="EJ66" s="9"/>
    </row>
    <row r="67" spans="2:140" s="11" customFormat="1" ht="12.45" customHeight="1" x14ac:dyDescent="0.2">
      <c r="B67" s="112"/>
      <c r="C67" s="115"/>
      <c r="D67" s="296" t="s">
        <v>160</v>
      </c>
      <c r="E67" s="304"/>
      <c r="F67" s="304"/>
      <c r="G67" s="304"/>
      <c r="H67" s="304"/>
      <c r="I67" s="304"/>
      <c r="J67" s="304"/>
      <c r="K67" s="304"/>
      <c r="L67" s="366"/>
      <c r="M67" s="157">
        <f>COUNTIF(SEGUIMIENTO!AA$23:AA$122,"DDHH")</f>
        <v>0</v>
      </c>
      <c r="N67" s="22"/>
      <c r="O67" s="182">
        <f>+BN16</f>
        <v>0</v>
      </c>
      <c r="P67" s="55">
        <f>+BN17</f>
        <v>0</v>
      </c>
      <c r="Q67" s="166">
        <f>+BN18</f>
        <v>0</v>
      </c>
      <c r="R67" s="55">
        <f>+BN19</f>
        <v>0</v>
      </c>
      <c r="S67" s="161">
        <f>+BN20</f>
        <v>0</v>
      </c>
      <c r="T67" s="16">
        <f>+BN21</f>
        <v>0</v>
      </c>
      <c r="U67" s="22"/>
      <c r="V67" s="22"/>
      <c r="W67" s="182">
        <f>+BN24</f>
        <v>0</v>
      </c>
      <c r="X67" s="55">
        <f>+BN25</f>
        <v>0</v>
      </c>
      <c r="Y67" s="166">
        <f>+BN26</f>
        <v>0</v>
      </c>
      <c r="Z67" s="55">
        <f>+BN27</f>
        <v>0</v>
      </c>
      <c r="AA67" s="161">
        <f>+BN28</f>
        <v>0</v>
      </c>
      <c r="AB67" s="55">
        <f>+BN29</f>
        <v>0</v>
      </c>
      <c r="AC67" s="198">
        <f>+BN30</f>
        <v>0</v>
      </c>
      <c r="AD67" s="22"/>
      <c r="AE67" s="22"/>
      <c r="AF67" s="182">
        <f>+BN33</f>
        <v>0</v>
      </c>
      <c r="AG67" s="16">
        <f>+BN34</f>
        <v>0</v>
      </c>
      <c r="AH67" s="22"/>
      <c r="AI67" s="22"/>
      <c r="AJ67" s="182">
        <f>+BN37</f>
        <v>0</v>
      </c>
      <c r="AK67" s="55">
        <f>+BN38</f>
        <v>0</v>
      </c>
      <c r="AL67" s="166">
        <f>+BN39</f>
        <v>0</v>
      </c>
      <c r="AM67" s="55">
        <f>+BN40</f>
        <v>0</v>
      </c>
      <c r="AN67" s="161">
        <f>+BN41</f>
        <v>0</v>
      </c>
      <c r="AO67" s="55">
        <f>+BN42</f>
        <v>0</v>
      </c>
      <c r="AP67" s="207">
        <f>+BN43</f>
        <v>0</v>
      </c>
      <c r="AQ67" s="150">
        <f>+BN44</f>
        <v>0</v>
      </c>
      <c r="AR67" s="209">
        <f>+BN45</f>
        <v>0</v>
      </c>
      <c r="AS67" s="150">
        <f>+BN46</f>
        <v>0</v>
      </c>
      <c r="AT67" s="211">
        <f>+BN47</f>
        <v>0</v>
      </c>
      <c r="AU67" s="150">
        <f>+BN48</f>
        <v>0</v>
      </c>
      <c r="AV67" s="201">
        <f>+BN49</f>
        <v>0</v>
      </c>
      <c r="AW67" s="22"/>
      <c r="AX67" s="22"/>
      <c r="AY67" s="270">
        <f>+BN52</f>
        <v>0</v>
      </c>
      <c r="AZ67" s="22"/>
      <c r="BA67" s="182">
        <f>+BN54</f>
        <v>0</v>
      </c>
      <c r="BB67" s="55">
        <f>+BN55</f>
        <v>0</v>
      </c>
      <c r="BC67" s="166">
        <f>+BN56</f>
        <v>0</v>
      </c>
      <c r="BD67" s="55">
        <f>+BN57</f>
        <v>0</v>
      </c>
      <c r="BE67" s="161">
        <f>+BN58</f>
        <v>0</v>
      </c>
      <c r="BF67" s="55">
        <f>+BN59</f>
        <v>0</v>
      </c>
      <c r="BG67" s="207">
        <f>+BN60</f>
        <v>0</v>
      </c>
      <c r="BH67" s="151">
        <f>+BN61</f>
        <v>0</v>
      </c>
      <c r="BI67" s="22"/>
      <c r="BJ67" s="22"/>
      <c r="BK67" s="156"/>
      <c r="BL67" s="156"/>
      <c r="BM67" s="156"/>
      <c r="BN67" s="156"/>
      <c r="BO67" s="156"/>
      <c r="BP67" s="156"/>
      <c r="BQ67" s="156"/>
      <c r="BR67" s="156"/>
      <c r="BS67" s="22"/>
      <c r="BT67" s="22"/>
      <c r="BU67" s="149">
        <f>COUNTIFS(SEGUIMIENTO!$AA$23:$AA$122,"DDHH",SEGUIMIENTO!$AB$23:$AB$122,"RUR")</f>
        <v>0</v>
      </c>
      <c r="BV67" s="151">
        <f>COUNTIFS(SEGUIMIENTO!$AA$23:$AA$122,"DDHH",SEGUIMIENTO!$AB$23:$AB$122,"URB")</f>
        <v>0</v>
      </c>
      <c r="BW67" s="22"/>
      <c r="BX67" s="22"/>
      <c r="BY67" s="149">
        <f>COUNTIFS(SEGUIMIENTO!$AA$23:$AA$122,"DDHH",SEGUIMIENTO!$AD$23:$AD$122,"1")</f>
        <v>0</v>
      </c>
      <c r="BZ67" s="150">
        <f>COUNTIFS(SEGUIMIENTO!$AA$23:$AA$122,"DDHH",SEGUIMIENTO!$AD$23:$AD$122,"2")</f>
        <v>0</v>
      </c>
      <c r="CA67" s="150">
        <f>COUNTIFS(SEGUIMIENTO!$AA$23:$AA$122,"DDHH",SEGUIMIENTO!$AD$23:$AD$122,"3")</f>
        <v>0</v>
      </c>
      <c r="CB67" s="150">
        <f>COUNTIFS(SEGUIMIENTO!$AA$23:$AA$122,"DDHH",SEGUIMIENTO!$AD$23:$AD$122,"4")</f>
        <v>0</v>
      </c>
      <c r="CC67" s="150">
        <f>COUNTIFS(SEGUIMIENTO!$AA$23:$AA$122,"DDHH",SEGUIMIENTO!$AD$23:$AD$122,"5")</f>
        <v>0</v>
      </c>
      <c r="CD67" s="150">
        <f>COUNTIFS(SEGUIMIENTO!$AA$23:$AA$122,"DDHH",SEGUIMIENTO!$AD$23:$AD$122,"6")</f>
        <v>0</v>
      </c>
      <c r="CE67" s="150">
        <f>COUNTIFS(SEGUIMIENTO!$AA$23:$AA$122,"DDHH",SEGUIMIENTO!$AD$23:$AD$122,"7")</f>
        <v>0</v>
      </c>
      <c r="CF67" s="150">
        <f>COUNTIFS(SEGUIMIENTO!$AA$23:$AA$122,"DDHH",SEGUIMIENTO!$AD$23:$AD$122,"8")</f>
        <v>0</v>
      </c>
      <c r="CG67" s="151">
        <f>COUNTIFS(SEGUIMIENTO!$AA$23:$AA$122,"DDHH",SEGUIMIENTO!$AD$23:$AD$122,"9")</f>
        <v>0</v>
      </c>
      <c r="CH67" s="22"/>
      <c r="CI67" s="22"/>
      <c r="CJ67" s="182">
        <f>+BN89</f>
        <v>0</v>
      </c>
      <c r="CK67" s="55">
        <f>+BN90</f>
        <v>0</v>
      </c>
      <c r="CL67" s="166">
        <f>+BN91</f>
        <v>0</v>
      </c>
      <c r="CM67" s="55">
        <f>+BN92</f>
        <v>0</v>
      </c>
      <c r="CN67" s="161">
        <f>+BN93</f>
        <v>0</v>
      </c>
      <c r="CO67" s="55">
        <f>+BN94</f>
        <v>0</v>
      </c>
      <c r="CP67" s="288">
        <f>+BN95</f>
        <v>0</v>
      </c>
      <c r="CQ67" s="150">
        <f>+BN96</f>
        <v>0</v>
      </c>
      <c r="CR67" s="209">
        <f>+BN97</f>
        <v>0</v>
      </c>
      <c r="CS67" s="55">
        <f>+BN98</f>
        <v>0</v>
      </c>
      <c r="CT67" s="211">
        <f>+BN99</f>
        <v>0</v>
      </c>
      <c r="CU67" s="55">
        <f>+BN100</f>
        <v>0</v>
      </c>
      <c r="CV67" s="215">
        <f>+BN101</f>
        <v>0</v>
      </c>
      <c r="CW67" s="55">
        <f>+BN102</f>
        <v>0</v>
      </c>
      <c r="CX67" s="245">
        <f>+BN103</f>
        <v>0</v>
      </c>
      <c r="CY67" s="150">
        <f>+BN104</f>
        <v>0</v>
      </c>
      <c r="CZ67" s="231">
        <f>+BN105</f>
        <v>0</v>
      </c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10"/>
      <c r="DL67" s="5"/>
      <c r="DM67" s="5"/>
      <c r="DN67" s="5"/>
      <c r="DO67" s="5"/>
      <c r="DP67" s="5"/>
      <c r="DQ67" s="5"/>
      <c r="DR67" s="5"/>
      <c r="DS67" s="5"/>
      <c r="EJ67" s="9"/>
    </row>
    <row r="68" spans="2:140" s="11" customFormat="1" ht="12.45" customHeight="1" x14ac:dyDescent="0.2">
      <c r="B68" s="112"/>
      <c r="C68" s="115"/>
      <c r="D68" s="298" t="s">
        <v>161</v>
      </c>
      <c r="E68" s="306"/>
      <c r="F68" s="306"/>
      <c r="G68" s="306"/>
      <c r="H68" s="306"/>
      <c r="I68" s="306"/>
      <c r="J68" s="306"/>
      <c r="K68" s="306"/>
      <c r="L68" s="368"/>
      <c r="M68" s="163">
        <f>COUNTIF(SEGUIMIENTO!AA$23:AA$122,"SIND")</f>
        <v>0</v>
      </c>
      <c r="N68" s="22"/>
      <c r="O68" s="182">
        <f>+BO16</f>
        <v>0</v>
      </c>
      <c r="P68" s="55">
        <f>+BO17</f>
        <v>0</v>
      </c>
      <c r="Q68" s="166">
        <f>+BO18</f>
        <v>0</v>
      </c>
      <c r="R68" s="55">
        <f>+BO19</f>
        <v>0</v>
      </c>
      <c r="S68" s="161">
        <f>+BO20</f>
        <v>0</v>
      </c>
      <c r="T68" s="16">
        <f>+BO21</f>
        <v>0</v>
      </c>
      <c r="U68" s="22"/>
      <c r="V68" s="22"/>
      <c r="W68" s="182">
        <f>+BO24</f>
        <v>0</v>
      </c>
      <c r="X68" s="55">
        <f>+BO25</f>
        <v>0</v>
      </c>
      <c r="Y68" s="166">
        <f>+BO26</f>
        <v>0</v>
      </c>
      <c r="Z68" s="55">
        <f>+BO27</f>
        <v>0</v>
      </c>
      <c r="AA68" s="161">
        <f>+BO28</f>
        <v>0</v>
      </c>
      <c r="AB68" s="55">
        <f>+BO29</f>
        <v>0</v>
      </c>
      <c r="AC68" s="198">
        <f>+BO30</f>
        <v>0</v>
      </c>
      <c r="AD68" s="22"/>
      <c r="AE68" s="22"/>
      <c r="AF68" s="182">
        <f>+BO33</f>
        <v>0</v>
      </c>
      <c r="AG68" s="16">
        <f>+BO34</f>
        <v>0</v>
      </c>
      <c r="AH68" s="22"/>
      <c r="AI68" s="22"/>
      <c r="AJ68" s="182">
        <f>+BO37</f>
        <v>0</v>
      </c>
      <c r="AK68" s="55">
        <f>+BO38</f>
        <v>0</v>
      </c>
      <c r="AL68" s="166">
        <f>+BO39</f>
        <v>0</v>
      </c>
      <c r="AM68" s="55">
        <f>+BO40</f>
        <v>0</v>
      </c>
      <c r="AN68" s="161">
        <f>+BO41</f>
        <v>0</v>
      </c>
      <c r="AO68" s="55">
        <f>+BO42</f>
        <v>0</v>
      </c>
      <c r="AP68" s="207">
        <f>+BO43</f>
        <v>0</v>
      </c>
      <c r="AQ68" s="150">
        <f>+BO44</f>
        <v>0</v>
      </c>
      <c r="AR68" s="209">
        <f>+BO45</f>
        <v>0</v>
      </c>
      <c r="AS68" s="150">
        <f>+BO46</f>
        <v>0</v>
      </c>
      <c r="AT68" s="211">
        <f>+BO47</f>
        <v>0</v>
      </c>
      <c r="AU68" s="150">
        <f>+BO48</f>
        <v>0</v>
      </c>
      <c r="AV68" s="201">
        <f>+BO49</f>
        <v>0</v>
      </c>
      <c r="AW68" s="22"/>
      <c r="AX68" s="22"/>
      <c r="AY68" s="270">
        <f>+BO52</f>
        <v>0</v>
      </c>
      <c r="AZ68" s="22"/>
      <c r="BA68" s="182">
        <f>+BO54</f>
        <v>0</v>
      </c>
      <c r="BB68" s="55">
        <f>+BO55</f>
        <v>0</v>
      </c>
      <c r="BC68" s="166">
        <f>+BO56</f>
        <v>0</v>
      </c>
      <c r="BD68" s="55">
        <f>+BO57</f>
        <v>0</v>
      </c>
      <c r="BE68" s="161">
        <f>+BO58</f>
        <v>0</v>
      </c>
      <c r="BF68" s="55">
        <f>+BO59</f>
        <v>0</v>
      </c>
      <c r="BG68" s="207">
        <f>+BO60</f>
        <v>0</v>
      </c>
      <c r="BH68" s="151">
        <f>+BO61</f>
        <v>0</v>
      </c>
      <c r="BI68" s="22"/>
      <c r="BJ68" s="22"/>
      <c r="BK68" s="156"/>
      <c r="BL68" s="156"/>
      <c r="BM68" s="156"/>
      <c r="BN68" s="156"/>
      <c r="BO68" s="156"/>
      <c r="BP68" s="156"/>
      <c r="BQ68" s="156"/>
      <c r="BR68" s="156"/>
      <c r="BS68" s="22"/>
      <c r="BT68" s="22"/>
      <c r="BU68" s="160">
        <f>COUNTIFS(SEGUIMIENTO!$AA$23:$AA$122,"SIND",SEGUIMIENTO!$AB$23:$AB$122,"RUR")</f>
        <v>0</v>
      </c>
      <c r="BV68" s="162">
        <f>COUNTIFS(SEGUIMIENTO!$AA$23:$AA$122,"SIND",SEGUIMIENTO!$AB$23:$AB$122,"URB")</f>
        <v>0</v>
      </c>
      <c r="BW68" s="22"/>
      <c r="BX68" s="22"/>
      <c r="BY68" s="160">
        <f>COUNTIFS(SEGUIMIENTO!$AA$23:$AA$122,"SIND",SEGUIMIENTO!$AD$23:$AD$122,"1")</f>
        <v>0</v>
      </c>
      <c r="BZ68" s="161">
        <f>COUNTIFS(SEGUIMIENTO!$AA$23:$AA$122,"SIND",SEGUIMIENTO!$AD$23:$AD$122,"2")</f>
        <v>0</v>
      </c>
      <c r="CA68" s="161">
        <f>COUNTIFS(SEGUIMIENTO!$AA$23:$AA$122,"SIND",SEGUIMIENTO!$AD$23:$AD$122,"3")</f>
        <v>0</v>
      </c>
      <c r="CB68" s="161">
        <f>COUNTIFS(SEGUIMIENTO!$AA$23:$AA$122,"SIND",SEGUIMIENTO!$AD$23:$AD$122,"4")</f>
        <v>0</v>
      </c>
      <c r="CC68" s="161">
        <f>COUNTIFS(SEGUIMIENTO!$AA$23:$AA$122,"SIND",SEGUIMIENTO!$AD$23:$AD$122,"5")</f>
        <v>0</v>
      </c>
      <c r="CD68" s="161">
        <f>COUNTIFS(SEGUIMIENTO!$AA$23:$AA$122,"SIND",SEGUIMIENTO!$AD$23:$AD$122,"6")</f>
        <v>0</v>
      </c>
      <c r="CE68" s="161">
        <f>COUNTIFS(SEGUIMIENTO!$AA$23:$AA$122,"SIND",SEGUIMIENTO!$AD$23:$AD$122,"7")</f>
        <v>0</v>
      </c>
      <c r="CF68" s="161">
        <f>COUNTIFS(SEGUIMIENTO!$AA$23:$AA$122,"SIND",SEGUIMIENTO!$AD$23:$AD$122,"8")</f>
        <v>0</v>
      </c>
      <c r="CG68" s="162">
        <f>COUNTIFS(SEGUIMIENTO!$AA$23:$AA$122,"SIND",SEGUIMIENTO!$AD$23:$AD$122,"9")</f>
        <v>0</v>
      </c>
      <c r="CH68" s="22"/>
      <c r="CI68" s="22"/>
      <c r="CJ68" s="182">
        <f>+BO89</f>
        <v>0</v>
      </c>
      <c r="CK68" s="55">
        <f>+BO90</f>
        <v>0</v>
      </c>
      <c r="CL68" s="166">
        <f>+BO91</f>
        <v>0</v>
      </c>
      <c r="CM68" s="55">
        <f>+BO92</f>
        <v>0</v>
      </c>
      <c r="CN68" s="161">
        <f>+BO93</f>
        <v>0</v>
      </c>
      <c r="CO68" s="55">
        <f>+BO94</f>
        <v>0</v>
      </c>
      <c r="CP68" s="288">
        <f>+BO95</f>
        <v>0</v>
      </c>
      <c r="CQ68" s="150">
        <f>+BO96</f>
        <v>0</v>
      </c>
      <c r="CR68" s="209">
        <f>+BO97</f>
        <v>0</v>
      </c>
      <c r="CS68" s="55">
        <f>+BO98</f>
        <v>0</v>
      </c>
      <c r="CT68" s="211">
        <f>+BO99</f>
        <v>0</v>
      </c>
      <c r="CU68" s="55">
        <f>+BO100</f>
        <v>0</v>
      </c>
      <c r="CV68" s="215">
        <f>+BO101</f>
        <v>0</v>
      </c>
      <c r="CW68" s="55">
        <f>+BO102</f>
        <v>0</v>
      </c>
      <c r="CX68" s="245">
        <f>+BO103</f>
        <v>0</v>
      </c>
      <c r="CY68" s="150">
        <f>+BO104</f>
        <v>0</v>
      </c>
      <c r="CZ68" s="231">
        <f>+BO105</f>
        <v>0</v>
      </c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10"/>
      <c r="DL68" s="5"/>
      <c r="DM68" s="5"/>
      <c r="DN68" s="5"/>
      <c r="DO68" s="5"/>
      <c r="DP68" s="5"/>
      <c r="DQ68" s="5"/>
      <c r="DR68" s="5"/>
      <c r="DS68" s="5"/>
      <c r="EJ68" s="9"/>
    </row>
    <row r="69" spans="2:140" s="11" customFormat="1" ht="12.45" customHeight="1" x14ac:dyDescent="0.2">
      <c r="B69" s="112"/>
      <c r="C69" s="115"/>
      <c r="D69" s="296" t="s">
        <v>162</v>
      </c>
      <c r="E69" s="304"/>
      <c r="F69" s="304"/>
      <c r="G69" s="304"/>
      <c r="H69" s="304"/>
      <c r="I69" s="304"/>
      <c r="J69" s="304"/>
      <c r="K69" s="304"/>
      <c r="L69" s="366"/>
      <c r="M69" s="157">
        <f>COUNTIF(SEGUIMIENTO!AA$23:AA$122,"REL")</f>
        <v>0</v>
      </c>
      <c r="N69" s="22"/>
      <c r="O69" s="182">
        <f>+BP16</f>
        <v>0</v>
      </c>
      <c r="P69" s="55">
        <f>+BP17</f>
        <v>0</v>
      </c>
      <c r="Q69" s="166">
        <f>+BP18</f>
        <v>0</v>
      </c>
      <c r="R69" s="55">
        <f>+BP19</f>
        <v>0</v>
      </c>
      <c r="S69" s="161">
        <f>+BP20</f>
        <v>0</v>
      </c>
      <c r="T69" s="16">
        <f>+BP21</f>
        <v>0</v>
      </c>
      <c r="U69" s="22"/>
      <c r="V69" s="22"/>
      <c r="W69" s="182">
        <f>+BP24</f>
        <v>0</v>
      </c>
      <c r="X69" s="55">
        <f>+BP25</f>
        <v>0</v>
      </c>
      <c r="Y69" s="166">
        <f>+BP26</f>
        <v>0</v>
      </c>
      <c r="Z69" s="55">
        <f>+BP27</f>
        <v>0</v>
      </c>
      <c r="AA69" s="161">
        <f>+BP28</f>
        <v>0</v>
      </c>
      <c r="AB69" s="55">
        <f>+BP29</f>
        <v>0</v>
      </c>
      <c r="AC69" s="198">
        <f>+BP30</f>
        <v>0</v>
      </c>
      <c r="AD69" s="22"/>
      <c r="AE69" s="22"/>
      <c r="AF69" s="182">
        <f>+BP33</f>
        <v>0</v>
      </c>
      <c r="AG69" s="16">
        <f>+BP34</f>
        <v>0</v>
      </c>
      <c r="AH69" s="22"/>
      <c r="AI69" s="22"/>
      <c r="AJ69" s="182">
        <f>+BP37</f>
        <v>0</v>
      </c>
      <c r="AK69" s="55">
        <f>+BP38</f>
        <v>0</v>
      </c>
      <c r="AL69" s="166">
        <f>+BP39</f>
        <v>0</v>
      </c>
      <c r="AM69" s="55">
        <f>+BP40</f>
        <v>0</v>
      </c>
      <c r="AN69" s="161">
        <f>+BP41</f>
        <v>0</v>
      </c>
      <c r="AO69" s="55">
        <f>+BP42</f>
        <v>0</v>
      </c>
      <c r="AP69" s="207">
        <f>+BP43</f>
        <v>0</v>
      </c>
      <c r="AQ69" s="150">
        <f>+BP44</f>
        <v>0</v>
      </c>
      <c r="AR69" s="209">
        <f>+BP45</f>
        <v>0</v>
      </c>
      <c r="AS69" s="150">
        <f>+BP46</f>
        <v>0</v>
      </c>
      <c r="AT69" s="211">
        <f>+BP47</f>
        <v>0</v>
      </c>
      <c r="AU69" s="150">
        <f>+BP48</f>
        <v>0</v>
      </c>
      <c r="AV69" s="201">
        <f>+BP49</f>
        <v>0</v>
      </c>
      <c r="AW69" s="22"/>
      <c r="AX69" s="22"/>
      <c r="AY69" s="270">
        <f>+BP52</f>
        <v>0</v>
      </c>
      <c r="AZ69" s="22"/>
      <c r="BA69" s="182">
        <f>+BP54</f>
        <v>0</v>
      </c>
      <c r="BB69" s="55">
        <f>+BP55</f>
        <v>0</v>
      </c>
      <c r="BC69" s="166">
        <f>+BP56</f>
        <v>0</v>
      </c>
      <c r="BD69" s="55">
        <f>+BP57</f>
        <v>0</v>
      </c>
      <c r="BE69" s="161">
        <f>+BP58</f>
        <v>0</v>
      </c>
      <c r="BF69" s="55">
        <f>+BP59</f>
        <v>0</v>
      </c>
      <c r="BG69" s="207">
        <f>+BP60</f>
        <v>0</v>
      </c>
      <c r="BH69" s="151">
        <f>+BP61</f>
        <v>0</v>
      </c>
      <c r="BI69" s="22"/>
      <c r="BJ69" s="22"/>
      <c r="BK69" s="156"/>
      <c r="BL69" s="156"/>
      <c r="BM69" s="156"/>
      <c r="BN69" s="156"/>
      <c r="BO69" s="156"/>
      <c r="BP69" s="156"/>
      <c r="BQ69" s="156"/>
      <c r="BR69" s="156"/>
      <c r="BS69" s="22"/>
      <c r="BT69" s="22"/>
      <c r="BU69" s="149">
        <f>COUNTIFS(SEGUIMIENTO!$AA$23:$AA$122,"REL",SEGUIMIENTO!$AB$23:$AB$122,"RUR")</f>
        <v>0</v>
      </c>
      <c r="BV69" s="151">
        <f>COUNTIFS(SEGUIMIENTO!$AA$23:$AA$122,"REL",SEGUIMIENTO!$AB$23:$AB$122,"URB")</f>
        <v>0</v>
      </c>
      <c r="BW69" s="22"/>
      <c r="BX69" s="22"/>
      <c r="BY69" s="149">
        <f>COUNTIFS(SEGUIMIENTO!$AA$23:$AA$122,"REL",SEGUIMIENTO!$AD$23:$AD$122,"1")</f>
        <v>0</v>
      </c>
      <c r="BZ69" s="150">
        <f>COUNTIFS(SEGUIMIENTO!$AA$23:$AA$122,"REL",SEGUIMIENTO!$AD$23:$AD$122,"2")</f>
        <v>0</v>
      </c>
      <c r="CA69" s="150">
        <f>COUNTIFS(SEGUIMIENTO!$AA$23:$AA$122,"REL",SEGUIMIENTO!$AD$23:$AD$122,"3")</f>
        <v>0</v>
      </c>
      <c r="CB69" s="150">
        <f>COUNTIFS(SEGUIMIENTO!$AA$23:$AA$122,"REL",SEGUIMIENTO!$AD$23:$AD$122,"4")</f>
        <v>0</v>
      </c>
      <c r="CC69" s="150">
        <f>COUNTIFS(SEGUIMIENTO!$AA$23:$AA$122,"REL",SEGUIMIENTO!$AD$23:$AD$122,"5")</f>
        <v>0</v>
      </c>
      <c r="CD69" s="150">
        <f>COUNTIFS(SEGUIMIENTO!$AA$23:$AA$122,"REL",SEGUIMIENTO!$AD$23:$AD$122,"6")</f>
        <v>0</v>
      </c>
      <c r="CE69" s="150">
        <f>COUNTIFS(SEGUIMIENTO!$AA$23:$AA$122,"REL",SEGUIMIENTO!$AD$23:$AD$122,"7")</f>
        <v>0</v>
      </c>
      <c r="CF69" s="150">
        <f>COUNTIFS(SEGUIMIENTO!$AA$23:$AA$122,"REL",SEGUIMIENTO!$AD$23:$AD$122,"8")</f>
        <v>0</v>
      </c>
      <c r="CG69" s="151">
        <f>COUNTIFS(SEGUIMIENTO!$AA$23:$AA$122,"REL",SEGUIMIENTO!$AD$23:$AD$122,"9")</f>
        <v>0</v>
      </c>
      <c r="CH69" s="22"/>
      <c r="CI69" s="22"/>
      <c r="CJ69" s="182">
        <f>+BP89</f>
        <v>0</v>
      </c>
      <c r="CK69" s="55">
        <f>+BP90</f>
        <v>0</v>
      </c>
      <c r="CL69" s="166">
        <f>+BP91</f>
        <v>0</v>
      </c>
      <c r="CM69" s="55">
        <f>+BP92</f>
        <v>0</v>
      </c>
      <c r="CN69" s="161">
        <f>+BP93</f>
        <v>0</v>
      </c>
      <c r="CO69" s="55">
        <f>+BP94</f>
        <v>0</v>
      </c>
      <c r="CP69" s="288">
        <f>+BP95</f>
        <v>0</v>
      </c>
      <c r="CQ69" s="150">
        <f>+BP96</f>
        <v>0</v>
      </c>
      <c r="CR69" s="209">
        <f>+BP97</f>
        <v>0</v>
      </c>
      <c r="CS69" s="55">
        <f>+BP98</f>
        <v>0</v>
      </c>
      <c r="CT69" s="211">
        <f>+BP99</f>
        <v>0</v>
      </c>
      <c r="CU69" s="55">
        <f>+BP100</f>
        <v>0</v>
      </c>
      <c r="CV69" s="215">
        <f>+BP101</f>
        <v>0</v>
      </c>
      <c r="CW69" s="55">
        <f>+BP102</f>
        <v>0</v>
      </c>
      <c r="CX69" s="245">
        <f>+BP103</f>
        <v>0</v>
      </c>
      <c r="CY69" s="150">
        <f>+BP104</f>
        <v>0</v>
      </c>
      <c r="CZ69" s="231">
        <f>+BP105</f>
        <v>0</v>
      </c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10"/>
      <c r="DL69" s="5"/>
      <c r="DM69" s="5"/>
      <c r="DN69" s="5"/>
      <c r="DO69" s="5"/>
      <c r="DP69" s="5"/>
      <c r="DQ69" s="5"/>
      <c r="DR69" s="5"/>
      <c r="DS69" s="5"/>
      <c r="EJ69" s="9"/>
    </row>
    <row r="70" spans="2:140" s="11" customFormat="1" ht="12.45" customHeight="1" x14ac:dyDescent="0.2">
      <c r="B70" s="112"/>
      <c r="C70" s="115"/>
      <c r="D70" s="329" t="s">
        <v>127</v>
      </c>
      <c r="E70" s="336"/>
      <c r="F70" s="336"/>
      <c r="G70" s="336"/>
      <c r="H70" s="336"/>
      <c r="I70" s="336"/>
      <c r="J70" s="336"/>
      <c r="K70" s="336"/>
      <c r="L70" s="369"/>
      <c r="M70" s="364">
        <f>COUNTIF(SEGUIMIENTO!AA$23:AA$122,"OTR")</f>
        <v>0</v>
      </c>
      <c r="N70" s="22"/>
      <c r="O70" s="182">
        <f>+BQ16</f>
        <v>0</v>
      </c>
      <c r="P70" s="55">
        <f>+BQ17</f>
        <v>0</v>
      </c>
      <c r="Q70" s="166">
        <f>+BQ18</f>
        <v>0</v>
      </c>
      <c r="R70" s="55">
        <f>+BQ19</f>
        <v>0</v>
      </c>
      <c r="S70" s="161">
        <f>+BQ20</f>
        <v>0</v>
      </c>
      <c r="T70" s="16">
        <f>+BQ21</f>
        <v>0</v>
      </c>
      <c r="U70" s="22"/>
      <c r="V70" s="22"/>
      <c r="W70" s="182">
        <f>+BQ24</f>
        <v>0</v>
      </c>
      <c r="X70" s="55">
        <f>+BQ25</f>
        <v>0</v>
      </c>
      <c r="Y70" s="166">
        <f>+BQ26</f>
        <v>0</v>
      </c>
      <c r="Z70" s="55">
        <f>+BQ27</f>
        <v>0</v>
      </c>
      <c r="AA70" s="161">
        <f>+BQ28</f>
        <v>0</v>
      </c>
      <c r="AB70" s="55">
        <f>+BQ29</f>
        <v>0</v>
      </c>
      <c r="AC70" s="198">
        <f>+BQ30</f>
        <v>0</v>
      </c>
      <c r="AD70" s="22"/>
      <c r="AE70" s="22"/>
      <c r="AF70" s="182">
        <f>+BQ33</f>
        <v>0</v>
      </c>
      <c r="AG70" s="16">
        <f>+BQ34</f>
        <v>0</v>
      </c>
      <c r="AH70" s="22"/>
      <c r="AI70" s="22"/>
      <c r="AJ70" s="182">
        <f>+BQ37</f>
        <v>0</v>
      </c>
      <c r="AK70" s="55">
        <f>+BQ38</f>
        <v>0</v>
      </c>
      <c r="AL70" s="166">
        <f>+BQ39</f>
        <v>0</v>
      </c>
      <c r="AM70" s="55">
        <f>+BQ40</f>
        <v>0</v>
      </c>
      <c r="AN70" s="161">
        <f>+BQ41</f>
        <v>0</v>
      </c>
      <c r="AO70" s="55">
        <f>+BQ42</f>
        <v>0</v>
      </c>
      <c r="AP70" s="207">
        <f>+BQ43</f>
        <v>0</v>
      </c>
      <c r="AQ70" s="150">
        <f>+BQ44</f>
        <v>0</v>
      </c>
      <c r="AR70" s="209">
        <f>+BQ45</f>
        <v>0</v>
      </c>
      <c r="AS70" s="150">
        <f>+BQ46</f>
        <v>0</v>
      </c>
      <c r="AT70" s="211">
        <f>+BQ47</f>
        <v>0</v>
      </c>
      <c r="AU70" s="150">
        <f>+BQ48</f>
        <v>0</v>
      </c>
      <c r="AV70" s="201">
        <f>+BQ49</f>
        <v>0</v>
      </c>
      <c r="AW70" s="22"/>
      <c r="AX70" s="22"/>
      <c r="AY70" s="270">
        <f>+BQ52</f>
        <v>0</v>
      </c>
      <c r="AZ70" s="22"/>
      <c r="BA70" s="182">
        <f>+BQ54</f>
        <v>0</v>
      </c>
      <c r="BB70" s="55">
        <f>+BQ55</f>
        <v>0</v>
      </c>
      <c r="BC70" s="166">
        <f>+BQ56</f>
        <v>0</v>
      </c>
      <c r="BD70" s="55">
        <f>+BQ57</f>
        <v>0</v>
      </c>
      <c r="BE70" s="161">
        <f>+BQ58</f>
        <v>0</v>
      </c>
      <c r="BF70" s="55">
        <f>+BQ59</f>
        <v>0</v>
      </c>
      <c r="BG70" s="207">
        <f>+BQ60</f>
        <v>0</v>
      </c>
      <c r="BH70" s="151">
        <f>+BQ61</f>
        <v>0</v>
      </c>
      <c r="BI70" s="22"/>
      <c r="BJ70" s="22"/>
      <c r="BK70" s="156"/>
      <c r="BL70" s="156"/>
      <c r="BM70" s="156"/>
      <c r="BN70" s="156"/>
      <c r="BO70" s="156"/>
      <c r="BP70" s="156"/>
      <c r="BQ70" s="156"/>
      <c r="BR70" s="156"/>
      <c r="BS70" s="22"/>
      <c r="BT70" s="22"/>
      <c r="BU70" s="234">
        <f>COUNTIFS(SEGUIMIENTO!$AA$23:$AA$122,"OTR",SEGUIMIENTO!$AB$23:$AB$122,"RUR")</f>
        <v>0</v>
      </c>
      <c r="BV70" s="198">
        <f>COUNTIFS(SEGUIMIENTO!$AA$23:$AA$122,"OTR",SEGUIMIENTO!$AB$23:$AB$122,"URB")</f>
        <v>0</v>
      </c>
      <c r="BW70" s="22"/>
      <c r="BX70" s="22"/>
      <c r="BY70" s="234">
        <f>COUNTIFS(SEGUIMIENTO!$AA$23:$AA$122,"OTR",SEGUIMIENTO!$AD$23:$AD$122,"1")</f>
        <v>0</v>
      </c>
      <c r="BZ70" s="207">
        <f>COUNTIFS(SEGUIMIENTO!$AA$23:$AA$122,"OTR",SEGUIMIENTO!$AD$23:$AD$122,"2")</f>
        <v>0</v>
      </c>
      <c r="CA70" s="240">
        <f>COUNTIFS(SEGUIMIENTO!$AA$23:$AA$122,"OTR",SEGUIMIENTO!$AD$23:$AD$122,"3")</f>
        <v>0</v>
      </c>
      <c r="CB70" s="240">
        <f>COUNTIFS(SEGUIMIENTO!$AA$23:$AA$122,"OTR",SEGUIMIENTO!$AD$23:$AD$122,"4")</f>
        <v>0</v>
      </c>
      <c r="CC70" s="240">
        <f>COUNTIFS(SEGUIMIENTO!$AA$23:$AA$122,"OTR",SEGUIMIENTO!$AD$23:$AD$122,"5")</f>
        <v>0</v>
      </c>
      <c r="CD70" s="240">
        <f>COUNTIFS(SEGUIMIENTO!$AA$23:$AA$122,"OTR",SEGUIMIENTO!$AD$23:$AD$122,"6")</f>
        <v>0</v>
      </c>
      <c r="CE70" s="240">
        <f>COUNTIFS(SEGUIMIENTO!$AA$23:$AA$122,"OTR",SEGUIMIENTO!$AD$23:$AD$122,"7")</f>
        <v>0</v>
      </c>
      <c r="CF70" s="240">
        <f>COUNTIFS(SEGUIMIENTO!$AA$23:$AA$122,"OTR",SEGUIMIENTO!$AD$23:$AD$122,"8")</f>
        <v>0</v>
      </c>
      <c r="CG70" s="249">
        <f>COUNTIFS(SEGUIMIENTO!$AA$23:$AA$122,"OTR",SEGUIMIENTO!$AD$23:$AD$122,"9")</f>
        <v>0</v>
      </c>
      <c r="CH70" s="22"/>
      <c r="CI70" s="22"/>
      <c r="CJ70" s="182">
        <f>+BQ89</f>
        <v>0</v>
      </c>
      <c r="CK70" s="55">
        <f>+BQ90</f>
        <v>0</v>
      </c>
      <c r="CL70" s="166">
        <f>+BQ91</f>
        <v>0</v>
      </c>
      <c r="CM70" s="55">
        <f>+BQ92</f>
        <v>0</v>
      </c>
      <c r="CN70" s="161">
        <f>+BQ93</f>
        <v>0</v>
      </c>
      <c r="CO70" s="55">
        <f>+BQ94</f>
        <v>0</v>
      </c>
      <c r="CP70" s="288">
        <f>+BQ95</f>
        <v>0</v>
      </c>
      <c r="CQ70" s="150">
        <f>+BQ96</f>
        <v>0</v>
      </c>
      <c r="CR70" s="209">
        <f>+BQ97</f>
        <v>0</v>
      </c>
      <c r="CS70" s="55">
        <f>+BQ98</f>
        <v>0</v>
      </c>
      <c r="CT70" s="211">
        <f>+BQ99</f>
        <v>0</v>
      </c>
      <c r="CU70" s="55">
        <f>+BQ100</f>
        <v>0</v>
      </c>
      <c r="CV70" s="215">
        <f>+BQ101</f>
        <v>0</v>
      </c>
      <c r="CW70" s="55">
        <f>+BQ102</f>
        <v>0</v>
      </c>
      <c r="CX70" s="245">
        <f>+BQ103</f>
        <v>0</v>
      </c>
      <c r="CY70" s="150">
        <f>+BQ104</f>
        <v>0</v>
      </c>
      <c r="CZ70" s="231">
        <f>+BQ105</f>
        <v>0</v>
      </c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10"/>
      <c r="DL70" s="5"/>
      <c r="DM70" s="5"/>
      <c r="DN70" s="5"/>
      <c r="DO70" s="5"/>
      <c r="DP70" s="5"/>
      <c r="DQ70" s="5"/>
      <c r="DR70" s="5"/>
      <c r="DS70" s="5"/>
      <c r="EJ70" s="9"/>
    </row>
    <row r="71" spans="2:140" s="11" customFormat="1" ht="12.45" customHeight="1" thickBot="1" x14ac:dyDescent="0.25">
      <c r="B71" s="112"/>
      <c r="C71" s="115"/>
      <c r="D71" s="86" t="s">
        <v>173</v>
      </c>
      <c r="E71" s="345"/>
      <c r="F71" s="345"/>
      <c r="G71" s="345"/>
      <c r="H71" s="345"/>
      <c r="I71" s="345"/>
      <c r="J71" s="345"/>
      <c r="K71" s="345"/>
      <c r="L71" s="370"/>
      <c r="M71" s="24">
        <f>COUNTIF(SEGUIMIENTO!AA$23:AA$122,"N/A")</f>
        <v>0</v>
      </c>
      <c r="N71" s="22"/>
      <c r="O71" s="183">
        <f>+BR16</f>
        <v>0</v>
      </c>
      <c r="P71" s="19">
        <f>+BR17</f>
        <v>0</v>
      </c>
      <c r="Q71" s="185">
        <f>+BR18</f>
        <v>0</v>
      </c>
      <c r="R71" s="19">
        <f>+BR19</f>
        <v>0</v>
      </c>
      <c r="S71" s="187">
        <f>+BR20</f>
        <v>0</v>
      </c>
      <c r="T71" s="20">
        <f>+BR21</f>
        <v>0</v>
      </c>
      <c r="U71" s="22"/>
      <c r="V71" s="22"/>
      <c r="W71" s="183">
        <f>+BR24</f>
        <v>0</v>
      </c>
      <c r="X71" s="19">
        <f>+BR25</f>
        <v>0</v>
      </c>
      <c r="Y71" s="185">
        <f>+BR26</f>
        <v>0</v>
      </c>
      <c r="Z71" s="19">
        <f>+BR27</f>
        <v>0</v>
      </c>
      <c r="AA71" s="187">
        <f>+BR28</f>
        <v>0</v>
      </c>
      <c r="AB71" s="19">
        <f>+BR29</f>
        <v>0</v>
      </c>
      <c r="AC71" s="188">
        <f>+BR30</f>
        <v>0</v>
      </c>
      <c r="AD71" s="22"/>
      <c r="AE71" s="22"/>
      <c r="AF71" s="183">
        <f>+BR33</f>
        <v>0</v>
      </c>
      <c r="AG71" s="20">
        <f>+BR34</f>
        <v>0</v>
      </c>
      <c r="AH71" s="22"/>
      <c r="AI71" s="22"/>
      <c r="AJ71" s="183">
        <f>+BR37</f>
        <v>0</v>
      </c>
      <c r="AK71" s="19">
        <f>+BR38</f>
        <v>0</v>
      </c>
      <c r="AL71" s="185">
        <f>+BR39</f>
        <v>0</v>
      </c>
      <c r="AM71" s="19">
        <f>+BR40</f>
        <v>0</v>
      </c>
      <c r="AN71" s="187">
        <f>+BR41</f>
        <v>0</v>
      </c>
      <c r="AO71" s="19">
        <f>+BR42</f>
        <v>0</v>
      </c>
      <c r="AP71" s="190">
        <f>+BR43</f>
        <v>0</v>
      </c>
      <c r="AQ71" s="153">
        <f>+BR44</f>
        <v>0</v>
      </c>
      <c r="AR71" s="268">
        <f>+BR45</f>
        <v>0</v>
      </c>
      <c r="AS71" s="153">
        <f>+BR46</f>
        <v>0</v>
      </c>
      <c r="AT71" s="269">
        <f>+BR47</f>
        <v>0</v>
      </c>
      <c r="AU71" s="153">
        <f>+BR48</f>
        <v>0</v>
      </c>
      <c r="AV71" s="214">
        <f>+BR49</f>
        <v>0</v>
      </c>
      <c r="AW71" s="22"/>
      <c r="AX71" s="22"/>
      <c r="AY71" s="271">
        <f>+BR52</f>
        <v>0</v>
      </c>
      <c r="AZ71" s="22"/>
      <c r="BA71" s="183">
        <f>+BR54</f>
        <v>0</v>
      </c>
      <c r="BB71" s="19">
        <f>+BR55</f>
        <v>0</v>
      </c>
      <c r="BC71" s="185">
        <f>+BR56</f>
        <v>0</v>
      </c>
      <c r="BD71" s="19">
        <f>+BR57</f>
        <v>0</v>
      </c>
      <c r="BE71" s="187">
        <f>+BR58</f>
        <v>0</v>
      </c>
      <c r="BF71" s="19">
        <f>+BR59</f>
        <v>0</v>
      </c>
      <c r="BG71" s="190">
        <f>+BR60</f>
        <v>0</v>
      </c>
      <c r="BH71" s="154">
        <f>+BR61</f>
        <v>0</v>
      </c>
      <c r="BI71" s="22"/>
      <c r="BJ71" s="22"/>
      <c r="BK71" s="156"/>
      <c r="BL71" s="156"/>
      <c r="BM71" s="156"/>
      <c r="BN71" s="156"/>
      <c r="BO71" s="156"/>
      <c r="BP71" s="156"/>
      <c r="BQ71" s="156"/>
      <c r="BR71" s="156"/>
      <c r="BS71" s="22"/>
      <c r="BT71" s="22"/>
      <c r="BU71" s="18">
        <f>COUNTIFS(SEGUIMIENTO!$AA$23:$AA$122,"N/A",SEGUIMIENTO!$AB$23:$AB$122,"RUR")</f>
        <v>0</v>
      </c>
      <c r="BV71" s="20">
        <f>COUNTIFS(SEGUIMIENTO!$AA$23:$AA$122,"N/A",SEGUIMIENTO!$AB$23:$AB$122,"URB")</f>
        <v>0</v>
      </c>
      <c r="BW71" s="22"/>
      <c r="BX71" s="22"/>
      <c r="BY71" s="18">
        <f>COUNTIFS(SEGUIMIENTO!$AA$23:$AA$122,"N/A",SEGUIMIENTO!$AD$23:$AD$122,"1")</f>
        <v>0</v>
      </c>
      <c r="BZ71" s="19">
        <f>COUNTIFS(SEGUIMIENTO!$AA$23:$AA$122,"N/A",SEGUIMIENTO!$AD$23:$AD$122,"2")</f>
        <v>0</v>
      </c>
      <c r="CA71" s="19">
        <f>COUNTIFS(SEGUIMIENTO!$AA$23:$AA$122,"N/A",SEGUIMIENTO!$AD$23:$AD$122,"3")</f>
        <v>0</v>
      </c>
      <c r="CB71" s="19">
        <f>COUNTIFS(SEGUIMIENTO!$AA$23:$AA$122,"N/A",SEGUIMIENTO!$AD$23:$AD$122,"4")</f>
        <v>0</v>
      </c>
      <c r="CC71" s="19">
        <f>COUNTIFS(SEGUIMIENTO!$AA$23:$AA$122,"N/A",SEGUIMIENTO!$AD$23:$AD$122,"5")</f>
        <v>0</v>
      </c>
      <c r="CD71" s="19">
        <f>COUNTIFS(SEGUIMIENTO!$AA$23:$AA$122,"N/A",SEGUIMIENTO!$AD$23:$AD$122,"6")</f>
        <v>0</v>
      </c>
      <c r="CE71" s="19">
        <f>COUNTIFS(SEGUIMIENTO!$AA$23:$AA$122,"N/A",SEGUIMIENTO!$AD$23:$AD$122,"7")</f>
        <v>0</v>
      </c>
      <c r="CF71" s="19">
        <f>COUNTIFS(SEGUIMIENTO!$AA$23:$AA$122,"N/A",SEGUIMIENTO!$AD$23:$AD$122,"8")</f>
        <v>0</v>
      </c>
      <c r="CG71" s="20">
        <f>COUNTIFS(SEGUIMIENTO!$AA$23:$AA$122,"N/A",SEGUIMIENTO!$AD$23:$AD$122,"9")</f>
        <v>0</v>
      </c>
      <c r="CH71" s="22"/>
      <c r="CI71" s="22"/>
      <c r="CJ71" s="183">
        <f>+BR89</f>
        <v>0</v>
      </c>
      <c r="CK71" s="19">
        <f>+BR90</f>
        <v>0</v>
      </c>
      <c r="CL71" s="185">
        <f>+BR91</f>
        <v>0</v>
      </c>
      <c r="CM71" s="19">
        <f>+BR92</f>
        <v>0</v>
      </c>
      <c r="CN71" s="187">
        <f>+BR93</f>
        <v>0</v>
      </c>
      <c r="CO71" s="19">
        <f>+BR94</f>
        <v>0</v>
      </c>
      <c r="CP71" s="289">
        <f>+BR95</f>
        <v>0</v>
      </c>
      <c r="CQ71" s="153">
        <f>+BR96</f>
        <v>0</v>
      </c>
      <c r="CR71" s="268">
        <f>+BR97</f>
        <v>0</v>
      </c>
      <c r="CS71" s="19">
        <f>+BR98</f>
        <v>0</v>
      </c>
      <c r="CT71" s="269">
        <f>+BR99</f>
        <v>0</v>
      </c>
      <c r="CU71" s="19">
        <f>+BR100</f>
        <v>0</v>
      </c>
      <c r="CV71" s="213">
        <f>+BR101</f>
        <v>0</v>
      </c>
      <c r="CW71" s="19">
        <f>+BR102</f>
        <v>0</v>
      </c>
      <c r="CX71" s="274">
        <f>+BR103</f>
        <v>0</v>
      </c>
      <c r="CY71" s="153">
        <f>+BR104</f>
        <v>0</v>
      </c>
      <c r="CZ71" s="255">
        <f>+BR105</f>
        <v>0</v>
      </c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10"/>
      <c r="DL71" s="5"/>
      <c r="DM71" s="5"/>
      <c r="DN71" s="5"/>
      <c r="DO71" s="5"/>
      <c r="DP71" s="5"/>
      <c r="DQ71" s="5"/>
      <c r="DR71" s="5"/>
      <c r="DS71" s="5"/>
      <c r="EJ71" s="9"/>
    </row>
    <row r="72" spans="2:140" s="11" customFormat="1" ht="12.45" customHeight="1" thickBot="1" x14ac:dyDescent="0.25">
      <c r="B72" s="113"/>
      <c r="C72" s="292"/>
      <c r="D72" s="300" t="s">
        <v>90</v>
      </c>
      <c r="E72" s="301"/>
      <c r="F72" s="301"/>
      <c r="G72" s="301"/>
      <c r="H72" s="301"/>
      <c r="I72" s="301"/>
      <c r="J72" s="301"/>
      <c r="K72" s="301"/>
      <c r="L72" s="302"/>
      <c r="M72" s="144">
        <f>SUM(M64:M71)</f>
        <v>0</v>
      </c>
      <c r="N72" s="9"/>
      <c r="O72" s="259">
        <f>SUM(O106)</f>
        <v>0</v>
      </c>
      <c r="P72" s="259">
        <f>SUM(P106)</f>
        <v>0</v>
      </c>
      <c r="Q72" s="259">
        <f>SUM(Q106)</f>
        <v>0</v>
      </c>
      <c r="R72" s="259">
        <f>SUM(R106)</f>
        <v>0</v>
      </c>
      <c r="S72" s="259">
        <f>SUM(S106)</f>
        <v>0</v>
      </c>
      <c r="T72" s="259">
        <f>SUM(T106)</f>
        <v>0</v>
      </c>
      <c r="U72" s="142">
        <f>SUM(O72:T72)</f>
        <v>0</v>
      </c>
      <c r="V72" s="9"/>
      <c r="W72" s="259">
        <f>SUM(W106)</f>
        <v>0</v>
      </c>
      <c r="X72" s="259">
        <f>SUM(X106)</f>
        <v>0</v>
      </c>
      <c r="Y72" s="259">
        <f>SUM(Y106)</f>
        <v>0</v>
      </c>
      <c r="Z72" s="259">
        <f>SUM(Z106)</f>
        <v>0</v>
      </c>
      <c r="AA72" s="259">
        <f>SUM(AA106)</f>
        <v>0</v>
      </c>
      <c r="AB72" s="259">
        <f>SUM(AB106)</f>
        <v>0</v>
      </c>
      <c r="AC72" s="259">
        <f>SUM(AC106)</f>
        <v>0</v>
      </c>
      <c r="AD72" s="142">
        <f>SUM(W72:AC72)</f>
        <v>0</v>
      </c>
      <c r="AE72" s="10"/>
      <c r="AF72" s="259">
        <f>SUM(AF106)</f>
        <v>0</v>
      </c>
      <c r="AG72" s="259">
        <f>SUM(AG106)</f>
        <v>0</v>
      </c>
      <c r="AH72" s="142">
        <f>SUM(AF72:AG72)</f>
        <v>0</v>
      </c>
      <c r="AI72" s="10"/>
      <c r="AJ72" s="474">
        <f>SUM(AJ106)</f>
        <v>0</v>
      </c>
      <c r="AK72" s="474">
        <f>SUM(AK106)</f>
        <v>0</v>
      </c>
      <c r="AL72" s="474">
        <f>SUM(AL106)</f>
        <v>0</v>
      </c>
      <c r="AM72" s="474">
        <f>SUM(AM106)</f>
        <v>0</v>
      </c>
      <c r="AN72" s="474">
        <f>SUM(AN106)</f>
        <v>0</v>
      </c>
      <c r="AO72" s="474">
        <f>SUM(AO106)</f>
        <v>0</v>
      </c>
      <c r="AP72" s="474">
        <f>SUM(AP106)</f>
        <v>0</v>
      </c>
      <c r="AQ72" s="474">
        <f>SUM(AQ106)</f>
        <v>0</v>
      </c>
      <c r="AR72" s="474">
        <f>+BR45</f>
        <v>0</v>
      </c>
      <c r="AS72" s="474">
        <f>SUM(AS106)</f>
        <v>0</v>
      </c>
      <c r="AT72" s="474">
        <f>SUM(AT106)</f>
        <v>0</v>
      </c>
      <c r="AU72" s="474">
        <f>SUM(AU106)</f>
        <v>0</v>
      </c>
      <c r="AV72" s="474">
        <f>SUM(AV106)</f>
        <v>0</v>
      </c>
      <c r="AW72" s="142">
        <f>SUM(AJ72:AV72)</f>
        <v>0</v>
      </c>
      <c r="AX72" s="22"/>
      <c r="AY72" s="142">
        <f>SUM(AY106)</f>
        <v>0</v>
      </c>
      <c r="AZ72" s="473"/>
      <c r="BA72" s="9">
        <f>SUM(BA106)</f>
        <v>0</v>
      </c>
      <c r="BB72" s="9">
        <f>SUM(BB106)</f>
        <v>0</v>
      </c>
      <c r="BC72" s="9">
        <f>SUM(BC106)</f>
        <v>0</v>
      </c>
      <c r="BD72" s="9">
        <f>SUM(BD106)</f>
        <v>0</v>
      </c>
      <c r="BE72" s="9">
        <f>SUM(BE106)</f>
        <v>0</v>
      </c>
      <c r="BF72" s="9">
        <f>SUM(BF106)</f>
        <v>0</v>
      </c>
      <c r="BG72" s="9">
        <f>SUM(BG106)</f>
        <v>0</v>
      </c>
      <c r="BH72" s="9">
        <f>SUM(BH106)</f>
        <v>0</v>
      </c>
      <c r="BI72" s="142">
        <f>SUM(BA72:BH72)</f>
        <v>0</v>
      </c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>
        <f>SUM(BU64:BU71)</f>
        <v>0</v>
      </c>
      <c r="BV72" s="10">
        <f>SUM(BV64:BV71)</f>
        <v>0</v>
      </c>
      <c r="BW72" s="142">
        <f>SUM(BU72:BV72)</f>
        <v>0</v>
      </c>
      <c r="BX72" s="10"/>
      <c r="BY72" s="10">
        <f t="shared" ref="BY72:CG72" si="100">SUM(BY64:BY71)</f>
        <v>0</v>
      </c>
      <c r="BZ72" s="10">
        <f t="shared" si="100"/>
        <v>0</v>
      </c>
      <c r="CA72" s="10">
        <f t="shared" si="100"/>
        <v>0</v>
      </c>
      <c r="CB72" s="10">
        <f t="shared" si="100"/>
        <v>0</v>
      </c>
      <c r="CC72" s="10">
        <f t="shared" si="100"/>
        <v>0</v>
      </c>
      <c r="CD72" s="10">
        <f t="shared" si="100"/>
        <v>0</v>
      </c>
      <c r="CE72" s="10">
        <f t="shared" si="100"/>
        <v>0</v>
      </c>
      <c r="CF72" s="10">
        <f t="shared" si="100"/>
        <v>0</v>
      </c>
      <c r="CG72" s="10">
        <f t="shared" si="100"/>
        <v>0</v>
      </c>
      <c r="CH72" s="142">
        <f>SUM(BY72:CG72)</f>
        <v>0</v>
      </c>
      <c r="CI72" s="10"/>
      <c r="CJ72" s="259">
        <f>SUM(CJ64:CJ71)</f>
        <v>0</v>
      </c>
      <c r="CK72" s="259">
        <f t="shared" ref="CK72:CZ72" si="101">SUM(CK64:CK71)</f>
        <v>0</v>
      </c>
      <c r="CL72" s="259">
        <f t="shared" si="101"/>
        <v>0</v>
      </c>
      <c r="CM72" s="259">
        <f t="shared" si="101"/>
        <v>0</v>
      </c>
      <c r="CN72" s="259">
        <f t="shared" si="101"/>
        <v>0</v>
      </c>
      <c r="CO72" s="259">
        <f t="shared" si="101"/>
        <v>0</v>
      </c>
      <c r="CP72" s="259">
        <f t="shared" si="101"/>
        <v>0</v>
      </c>
      <c r="CQ72" s="259">
        <f t="shared" si="101"/>
        <v>0</v>
      </c>
      <c r="CR72" s="259">
        <f t="shared" si="101"/>
        <v>0</v>
      </c>
      <c r="CS72" s="259">
        <f t="shared" si="101"/>
        <v>0</v>
      </c>
      <c r="CT72" s="259">
        <f t="shared" si="101"/>
        <v>0</v>
      </c>
      <c r="CU72" s="259">
        <f t="shared" si="101"/>
        <v>0</v>
      </c>
      <c r="CV72" s="259">
        <f t="shared" si="101"/>
        <v>0</v>
      </c>
      <c r="CW72" s="259">
        <f t="shared" si="101"/>
        <v>0</v>
      </c>
      <c r="CX72" s="259">
        <f t="shared" si="101"/>
        <v>0</v>
      </c>
      <c r="CY72" s="259">
        <f t="shared" si="101"/>
        <v>0</v>
      </c>
      <c r="CZ72" s="259">
        <f t="shared" si="101"/>
        <v>0</v>
      </c>
      <c r="DA72" s="142">
        <f>SUM(CJ72:CZ72)</f>
        <v>0</v>
      </c>
      <c r="DB72" s="5"/>
      <c r="DC72" s="5"/>
      <c r="DD72" s="5"/>
      <c r="DE72" s="5"/>
      <c r="DF72" s="5"/>
      <c r="DG72" s="5"/>
      <c r="DH72" s="5"/>
      <c r="DI72" s="5"/>
      <c r="DJ72" s="5"/>
      <c r="DK72" s="10"/>
      <c r="DL72" s="5"/>
      <c r="DM72" s="5"/>
      <c r="DN72" s="5"/>
      <c r="DO72" s="5"/>
      <c r="DP72" s="5"/>
      <c r="DQ72" s="5"/>
      <c r="DR72" s="5"/>
      <c r="DS72" s="5"/>
      <c r="EJ72" s="9"/>
    </row>
    <row r="73" spans="2:140" s="11" customFormat="1" ht="10.050000000000001" customHeight="1" thickBo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0"/>
      <c r="O73" s="10"/>
      <c r="P73" s="10"/>
      <c r="Q73" s="10"/>
      <c r="R73" s="10"/>
      <c r="S73" s="10"/>
      <c r="T73" s="10"/>
      <c r="U73" s="10"/>
      <c r="V73" s="10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36"/>
      <c r="AK73" s="536"/>
      <c r="AL73" s="536"/>
      <c r="AM73" s="536"/>
      <c r="AN73" s="536"/>
      <c r="AO73" s="536"/>
      <c r="AP73" s="536"/>
      <c r="AQ73" s="536"/>
      <c r="AR73" s="536"/>
      <c r="AS73" s="536"/>
      <c r="AT73" s="536"/>
      <c r="AU73" s="536"/>
      <c r="AV73" s="536"/>
      <c r="AW73" s="5"/>
      <c r="AX73" s="5"/>
      <c r="AY73" s="5"/>
      <c r="AZ73" s="284"/>
      <c r="BA73" s="284"/>
      <c r="BB73" s="284"/>
      <c r="BC73" s="284"/>
      <c r="BD73" s="284"/>
      <c r="BE73" s="284"/>
      <c r="BF73" s="284"/>
      <c r="BG73" s="284"/>
      <c r="BH73" s="284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10"/>
      <c r="DL73" s="5"/>
      <c r="DM73" s="5"/>
      <c r="DN73" s="5"/>
      <c r="DO73" s="5"/>
      <c r="DP73" s="5"/>
      <c r="DQ73" s="5"/>
      <c r="DR73" s="5"/>
      <c r="DS73" s="5"/>
      <c r="EJ73" s="9"/>
    </row>
    <row r="74" spans="2:140" s="11" customFormat="1" ht="12.45" customHeight="1" x14ac:dyDescent="0.2">
      <c r="B74" s="109" t="s">
        <v>156</v>
      </c>
      <c r="C74" s="309"/>
      <c r="D74" s="353" t="s">
        <v>153</v>
      </c>
      <c r="E74" s="354"/>
      <c r="F74" s="354"/>
      <c r="G74" s="354"/>
      <c r="H74" s="354"/>
      <c r="I74" s="354"/>
      <c r="J74" s="354"/>
      <c r="K74" s="354"/>
      <c r="L74" s="355"/>
      <c r="M74" s="168">
        <f>COUNTIF(SEGUIMIENTO!AB$23:AB$122,"RUR")</f>
        <v>0</v>
      </c>
      <c r="N74" s="22"/>
      <c r="O74" s="169">
        <f>+BU16</f>
        <v>0</v>
      </c>
      <c r="P74" s="14">
        <f>+BU17</f>
        <v>0</v>
      </c>
      <c r="Q74" s="184">
        <f>+BU18</f>
        <v>0</v>
      </c>
      <c r="R74" s="14">
        <f>+BU19</f>
        <v>0</v>
      </c>
      <c r="S74" s="186">
        <f>+BU20</f>
        <v>0</v>
      </c>
      <c r="T74" s="13">
        <f>+BU21</f>
        <v>0</v>
      </c>
      <c r="U74" s="22"/>
      <c r="V74" s="22"/>
      <c r="W74" s="169">
        <f>+BU24</f>
        <v>0</v>
      </c>
      <c r="X74" s="14">
        <f>+BU25</f>
        <v>0</v>
      </c>
      <c r="Y74" s="184">
        <f>+BU26</f>
        <v>0</v>
      </c>
      <c r="Z74" s="14">
        <f>+BU27</f>
        <v>0</v>
      </c>
      <c r="AA74" s="186">
        <f>+BU28</f>
        <v>0</v>
      </c>
      <c r="AB74" s="14">
        <f>+BU29</f>
        <v>0</v>
      </c>
      <c r="AC74" s="191">
        <f>+BU30</f>
        <v>0</v>
      </c>
      <c r="AD74" s="22"/>
      <c r="AE74" s="22"/>
      <c r="AF74" s="169">
        <f>+BU33</f>
        <v>0</v>
      </c>
      <c r="AG74" s="13">
        <f>+BU34</f>
        <v>0</v>
      </c>
      <c r="AH74" s="22"/>
      <c r="AI74" s="22"/>
      <c r="AJ74" s="169">
        <f>+BU37</f>
        <v>0</v>
      </c>
      <c r="AK74" s="14">
        <f>+BU38</f>
        <v>0</v>
      </c>
      <c r="AL74" s="184">
        <f>+BU39</f>
        <v>0</v>
      </c>
      <c r="AM74" s="14">
        <f>+BU40</f>
        <v>0</v>
      </c>
      <c r="AN74" s="186">
        <f>+BU41</f>
        <v>0</v>
      </c>
      <c r="AO74" s="14">
        <f>+BU42</f>
        <v>0</v>
      </c>
      <c r="AP74" s="267">
        <f>+BU43</f>
        <v>0</v>
      </c>
      <c r="AQ74" s="158">
        <f>+BU44</f>
        <v>0</v>
      </c>
      <c r="AR74" s="260">
        <f>+BU45</f>
        <v>0</v>
      </c>
      <c r="AS74" s="158">
        <f>+BU46</f>
        <v>0</v>
      </c>
      <c r="AT74" s="261">
        <f>+BU47</f>
        <v>0</v>
      </c>
      <c r="AU74" s="158">
        <f>+BU48</f>
        <v>0</v>
      </c>
      <c r="AV74" s="262">
        <f>+BU49</f>
        <v>0</v>
      </c>
      <c r="AW74" s="22"/>
      <c r="AX74" s="22"/>
      <c r="AY74" s="192">
        <f>+BU52</f>
        <v>0</v>
      </c>
      <c r="AZ74" s="22"/>
      <c r="BA74" s="169">
        <f>+BU54</f>
        <v>0</v>
      </c>
      <c r="BB74" s="14">
        <f>+BU55</f>
        <v>0</v>
      </c>
      <c r="BC74" s="184">
        <f>+BU56</f>
        <v>0</v>
      </c>
      <c r="BD74" s="14">
        <f>+BU57</f>
        <v>0</v>
      </c>
      <c r="BE74" s="186">
        <f>+BU58</f>
        <v>0</v>
      </c>
      <c r="BF74" s="14">
        <f>+BU59</f>
        <v>0</v>
      </c>
      <c r="BG74" s="267">
        <f>+BU60</f>
        <v>0</v>
      </c>
      <c r="BH74" s="159">
        <f>+BU61</f>
        <v>0</v>
      </c>
      <c r="BI74" s="22"/>
      <c r="BJ74" s="22"/>
      <c r="BK74" s="169">
        <f>+BU64</f>
        <v>0</v>
      </c>
      <c r="BL74" s="14">
        <f>+BU65</f>
        <v>0</v>
      </c>
      <c r="BM74" s="184">
        <f>+BU66</f>
        <v>0</v>
      </c>
      <c r="BN74" s="14">
        <f>+BU67</f>
        <v>0</v>
      </c>
      <c r="BO74" s="186">
        <f>+BU68</f>
        <v>0</v>
      </c>
      <c r="BP74" s="14">
        <f>+BU69</f>
        <v>0</v>
      </c>
      <c r="BQ74" s="287">
        <f>+BU70</f>
        <v>0</v>
      </c>
      <c r="BR74" s="159">
        <f>+BU71</f>
        <v>0</v>
      </c>
      <c r="BS74" s="22"/>
      <c r="BT74" s="22"/>
      <c r="BU74" s="156"/>
      <c r="BV74" s="156"/>
      <c r="BW74" s="22"/>
      <c r="BX74" s="22"/>
      <c r="BY74" s="232">
        <f>COUNTIFS(SEGUIMIENTO!$AB$23:$AB$122,"RUR",SEGUIMIENTO!$AD$23:$AD$122,"1")</f>
        <v>0</v>
      </c>
      <c r="BZ74" s="170">
        <f>COUNTIFS(SEGUIMIENTO!$AB$23:$AB$122,"RUR",SEGUIMIENTO!$AD$23:$AD$122,"2")</f>
        <v>0</v>
      </c>
      <c r="CA74" s="246">
        <f>COUNTIFS(SEGUIMIENTO!$AB$23:$AB$122,"RUR",SEGUIMIENTO!$AD$23:$AD$122,"3")</f>
        <v>0</v>
      </c>
      <c r="CB74" s="246">
        <f>COUNTIFS(SEGUIMIENTO!$AB$23:$AB$122,"RUR",SEGUIMIENTO!$AD$23:$AD$122,"4")</f>
        <v>0</v>
      </c>
      <c r="CC74" s="246">
        <f>COUNTIFS(SEGUIMIENTO!$AB$23:$AB$122,"RUR",SEGUIMIENTO!$AD$23:$AD$122,"5")</f>
        <v>0</v>
      </c>
      <c r="CD74" s="246">
        <f>COUNTIFS(SEGUIMIENTO!$AB$23:$AB$122,"RUR",SEGUIMIENTO!$AD$23:$AD$122,"6")</f>
        <v>0</v>
      </c>
      <c r="CE74" s="246">
        <f>COUNTIFS(SEGUIMIENTO!$AB$23:$AB$122,"RUR",SEGUIMIENTO!$AD$23:$AD$122,"7")</f>
        <v>0</v>
      </c>
      <c r="CF74" s="246">
        <f>COUNTIFS(SEGUIMIENTO!$AB$23:$AB$122,"RUR",SEGUIMIENTO!$AD$23:$AD$122,"8")</f>
        <v>0</v>
      </c>
      <c r="CG74" s="247">
        <f>COUNTIFS(SEGUIMIENTO!$AB$23:$AB$122,"RUR",SEGUIMIENTO!$AD$23:$AD$122,"9")</f>
        <v>0</v>
      </c>
      <c r="CH74" s="22"/>
      <c r="CI74" s="22"/>
      <c r="CJ74" s="169">
        <f>+BU89</f>
        <v>0</v>
      </c>
      <c r="CK74" s="14">
        <f>+BU90</f>
        <v>0</v>
      </c>
      <c r="CL74" s="184">
        <f>+BU91</f>
        <v>0</v>
      </c>
      <c r="CM74" s="14">
        <f>+BU92</f>
        <v>0</v>
      </c>
      <c r="CN74" s="186">
        <f>+BU93</f>
        <v>0</v>
      </c>
      <c r="CO74" s="14">
        <f>+BU94</f>
        <v>0</v>
      </c>
      <c r="CP74" s="287">
        <f>+BU95</f>
        <v>0</v>
      </c>
      <c r="CQ74" s="158">
        <f>+BU96</f>
        <v>0</v>
      </c>
      <c r="CR74" s="260">
        <f>+BU97</f>
        <v>0</v>
      </c>
      <c r="CS74" s="14">
        <f>+BU98</f>
        <v>0</v>
      </c>
      <c r="CT74" s="261">
        <f>+BU99</f>
        <v>0</v>
      </c>
      <c r="CU74" s="14">
        <f>+BU100</f>
        <v>0</v>
      </c>
      <c r="CV74" s="272">
        <f>+BU101</f>
        <v>0</v>
      </c>
      <c r="CW74" s="14">
        <f>+BU102</f>
        <v>0</v>
      </c>
      <c r="CX74" s="273">
        <f>+BU103</f>
        <v>0</v>
      </c>
      <c r="CY74" s="158">
        <f>+BU104</f>
        <v>0</v>
      </c>
      <c r="CZ74" s="275">
        <f>+BU105</f>
        <v>0</v>
      </c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10"/>
      <c r="DL74" s="5"/>
      <c r="DM74" s="5"/>
      <c r="DN74" s="5"/>
      <c r="DO74" s="5"/>
      <c r="DP74" s="5"/>
      <c r="DQ74" s="5"/>
      <c r="DR74" s="5"/>
      <c r="DS74" s="5"/>
      <c r="EJ74" s="9"/>
    </row>
    <row r="75" spans="2:140" s="11" customFormat="1" ht="12.45" customHeight="1" thickBot="1" x14ac:dyDescent="0.25">
      <c r="B75" s="110"/>
      <c r="C75" s="310"/>
      <c r="D75" s="356" t="s">
        <v>154</v>
      </c>
      <c r="E75" s="357"/>
      <c r="F75" s="357"/>
      <c r="G75" s="357"/>
      <c r="H75" s="357"/>
      <c r="I75" s="357"/>
      <c r="J75" s="357"/>
      <c r="K75" s="357"/>
      <c r="L75" s="358"/>
      <c r="M75" s="352">
        <f>COUNTIF(SEGUIMIENTO!AB$23:AB$122,"URB")</f>
        <v>0</v>
      </c>
      <c r="N75" s="22"/>
      <c r="O75" s="183">
        <f>+BV16</f>
        <v>0</v>
      </c>
      <c r="P75" s="19">
        <f>+BV17</f>
        <v>0</v>
      </c>
      <c r="Q75" s="185">
        <f>+BV18</f>
        <v>0</v>
      </c>
      <c r="R75" s="19">
        <f>+BV19</f>
        <v>0</v>
      </c>
      <c r="S75" s="187">
        <f>+BV20</f>
        <v>0</v>
      </c>
      <c r="T75" s="20">
        <f>+BV21</f>
        <v>0</v>
      </c>
      <c r="U75" s="22"/>
      <c r="V75" s="22"/>
      <c r="W75" s="183">
        <f>+BV24</f>
        <v>0</v>
      </c>
      <c r="X75" s="19">
        <f>+BV25</f>
        <v>0</v>
      </c>
      <c r="Y75" s="185">
        <f>+BV26</f>
        <v>0</v>
      </c>
      <c r="Z75" s="19">
        <f>+BV27</f>
        <v>0</v>
      </c>
      <c r="AA75" s="187">
        <f>+BV28</f>
        <v>0</v>
      </c>
      <c r="AB75" s="19">
        <f>+BV29</f>
        <v>0</v>
      </c>
      <c r="AC75" s="188">
        <f>+BV30</f>
        <v>0</v>
      </c>
      <c r="AD75" s="22"/>
      <c r="AE75" s="22"/>
      <c r="AF75" s="183">
        <f>+BV33</f>
        <v>0</v>
      </c>
      <c r="AG75" s="20">
        <f>+BV34</f>
        <v>0</v>
      </c>
      <c r="AH75" s="22"/>
      <c r="AI75" s="22"/>
      <c r="AJ75" s="183">
        <f>+BV37</f>
        <v>0</v>
      </c>
      <c r="AK75" s="19">
        <f>+BV38</f>
        <v>0</v>
      </c>
      <c r="AL75" s="185">
        <f>+BV39</f>
        <v>0</v>
      </c>
      <c r="AM75" s="19">
        <f>+BV40</f>
        <v>0</v>
      </c>
      <c r="AN75" s="187">
        <f>+BV41</f>
        <v>0</v>
      </c>
      <c r="AO75" s="19">
        <f>+BV42</f>
        <v>0</v>
      </c>
      <c r="AP75" s="190">
        <f>+BV43</f>
        <v>0</v>
      </c>
      <c r="AQ75" s="153">
        <f>+BV44</f>
        <v>0</v>
      </c>
      <c r="AR75" s="268">
        <f>+BV45</f>
        <v>0</v>
      </c>
      <c r="AS75" s="153">
        <f>+BV46</f>
        <v>0</v>
      </c>
      <c r="AT75" s="269">
        <f>+BV47</f>
        <v>0</v>
      </c>
      <c r="AU75" s="153">
        <f>+BV48</f>
        <v>0</v>
      </c>
      <c r="AV75" s="214">
        <f>+BV49</f>
        <v>0</v>
      </c>
      <c r="AW75" s="22"/>
      <c r="AX75" s="22"/>
      <c r="AY75" s="271">
        <f>+BV52</f>
        <v>0</v>
      </c>
      <c r="AZ75" s="22"/>
      <c r="BA75" s="183">
        <f>+BV54</f>
        <v>0</v>
      </c>
      <c r="BB75" s="19">
        <f>+BV55</f>
        <v>0</v>
      </c>
      <c r="BC75" s="185">
        <f>+BV56</f>
        <v>0</v>
      </c>
      <c r="BD75" s="19">
        <f>+BV57</f>
        <v>0</v>
      </c>
      <c r="BE75" s="187">
        <f>+BV58</f>
        <v>0</v>
      </c>
      <c r="BF75" s="19">
        <f>+BV59</f>
        <v>0</v>
      </c>
      <c r="BG75" s="190">
        <f>+BV60</f>
        <v>0</v>
      </c>
      <c r="BH75" s="20">
        <f>+BV61</f>
        <v>0</v>
      </c>
      <c r="BI75" s="22"/>
      <c r="BJ75" s="22"/>
      <c r="BK75" s="183">
        <f>+BV64</f>
        <v>0</v>
      </c>
      <c r="BL75" s="19">
        <f>+BV65</f>
        <v>0</v>
      </c>
      <c r="BM75" s="185">
        <f>+BV66</f>
        <v>0</v>
      </c>
      <c r="BN75" s="19">
        <f>+BV67</f>
        <v>0</v>
      </c>
      <c r="BO75" s="187">
        <f>+BV68</f>
        <v>0</v>
      </c>
      <c r="BP75" s="19">
        <f>+BV69</f>
        <v>0</v>
      </c>
      <c r="BQ75" s="190">
        <f>+BV70</f>
        <v>0</v>
      </c>
      <c r="BR75" s="154">
        <f>+BV71</f>
        <v>0</v>
      </c>
      <c r="BS75" s="22"/>
      <c r="BT75" s="22"/>
      <c r="BU75" s="156"/>
      <c r="BV75" s="156"/>
      <c r="BW75" s="22"/>
      <c r="BX75" s="22"/>
      <c r="BY75" s="152">
        <f>COUNTIFS(SEGUIMIENTO!$AB$23:$AB$122,"URB",SEGUIMIENTO!$AD$23:$AD$122,"1")</f>
        <v>0</v>
      </c>
      <c r="BZ75" s="153">
        <f>COUNTIFS(SEGUIMIENTO!$AB$23:$AB$122,"URB",SEGUIMIENTO!$AD$23:$AD$122,"2")</f>
        <v>0</v>
      </c>
      <c r="CA75" s="153">
        <f>COUNTIFS(SEGUIMIENTO!$AB$23:$AB$122,"URB",SEGUIMIENTO!$AD$23:$AD$122,"3")</f>
        <v>0</v>
      </c>
      <c r="CB75" s="153">
        <f>COUNTIFS(SEGUIMIENTO!$AB$23:$AB$122,"URB",SEGUIMIENTO!$AD$23:$AD$122,"4")</f>
        <v>0</v>
      </c>
      <c r="CC75" s="153">
        <f>COUNTIFS(SEGUIMIENTO!$AB$23:$AB$122,"URB",SEGUIMIENTO!$AD$23:$AD$122,"5")</f>
        <v>0</v>
      </c>
      <c r="CD75" s="153">
        <f>COUNTIFS(SEGUIMIENTO!$AB$23:$AB$122,"URB",SEGUIMIENTO!$AD$23:$AD$122,"6")</f>
        <v>0</v>
      </c>
      <c r="CE75" s="153">
        <f>COUNTIFS(SEGUIMIENTO!$AB$23:$AB$122,"URB",SEGUIMIENTO!$AD$23:$AD$122,"7")</f>
        <v>0</v>
      </c>
      <c r="CF75" s="153">
        <f>COUNTIFS(SEGUIMIENTO!$AB$23:$AB$122,"URB",SEGUIMIENTO!$AD$23:$AD$122,"8")</f>
        <v>0</v>
      </c>
      <c r="CG75" s="154">
        <f>COUNTIFS(SEGUIMIENTO!$AB$23:$AB$122,"URB",SEGUIMIENTO!$AD$23:$AD$122,"9")</f>
        <v>0</v>
      </c>
      <c r="CH75" s="22"/>
      <c r="CI75" s="22"/>
      <c r="CJ75" s="183">
        <f>+BV89</f>
        <v>0</v>
      </c>
      <c r="CK75" s="19">
        <f>+BV90</f>
        <v>0</v>
      </c>
      <c r="CL75" s="185">
        <f>+BV91</f>
        <v>0</v>
      </c>
      <c r="CM75" s="19">
        <f>+BV92</f>
        <v>0</v>
      </c>
      <c r="CN75" s="187">
        <f>+BV93</f>
        <v>0</v>
      </c>
      <c r="CO75" s="19">
        <f>+BV94</f>
        <v>0</v>
      </c>
      <c r="CP75" s="190">
        <f>+BV95</f>
        <v>0</v>
      </c>
      <c r="CQ75" s="153">
        <f>+BV96</f>
        <v>0</v>
      </c>
      <c r="CR75" s="268">
        <f>+BV97</f>
        <v>0</v>
      </c>
      <c r="CS75" s="19">
        <f>+BV98</f>
        <v>0</v>
      </c>
      <c r="CT75" s="269">
        <f>+BV99</f>
        <v>0</v>
      </c>
      <c r="CU75" s="19">
        <f>+BV100</f>
        <v>0</v>
      </c>
      <c r="CV75" s="213">
        <f>+BV101</f>
        <v>0</v>
      </c>
      <c r="CW75" s="19">
        <f>+BV102</f>
        <v>0</v>
      </c>
      <c r="CX75" s="274">
        <f>+BV103</f>
        <v>0</v>
      </c>
      <c r="CY75" s="153">
        <f>+BV104</f>
        <v>0</v>
      </c>
      <c r="CZ75" s="255">
        <f>+BV105</f>
        <v>0</v>
      </c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10"/>
      <c r="DL75" s="5"/>
      <c r="DM75" s="5"/>
      <c r="DN75" s="5"/>
      <c r="DO75" s="5"/>
      <c r="DP75" s="5"/>
      <c r="DQ75" s="5"/>
      <c r="DR75" s="5"/>
      <c r="DS75" s="5"/>
      <c r="EJ75" s="9"/>
    </row>
    <row r="76" spans="2:140" s="11" customFormat="1" ht="12.45" customHeight="1" thickBot="1" x14ac:dyDescent="0.25">
      <c r="B76" s="129"/>
      <c r="C76" s="293"/>
      <c r="D76" s="300" t="s">
        <v>90</v>
      </c>
      <c r="E76" s="301"/>
      <c r="F76" s="301"/>
      <c r="G76" s="301"/>
      <c r="H76" s="301"/>
      <c r="I76" s="301"/>
      <c r="J76" s="301"/>
      <c r="K76" s="301"/>
      <c r="L76" s="302"/>
      <c r="M76" s="144">
        <f>SUM(M74:M75)</f>
        <v>0</v>
      </c>
      <c r="N76" s="10"/>
      <c r="O76" s="10">
        <f>SUM(O74:O75)</f>
        <v>0</v>
      </c>
      <c r="P76" s="10">
        <f t="shared" ref="P76:T76" si="102">SUM(P74:P75)</f>
        <v>0</v>
      </c>
      <c r="Q76" s="10">
        <f t="shared" si="102"/>
        <v>0</v>
      </c>
      <c r="R76" s="10">
        <f t="shared" si="102"/>
        <v>0</v>
      </c>
      <c r="S76" s="10">
        <f t="shared" si="102"/>
        <v>0</v>
      </c>
      <c r="T76" s="10">
        <f t="shared" si="102"/>
        <v>0</v>
      </c>
      <c r="U76" s="142">
        <f>SUM(O76:T76)</f>
        <v>0</v>
      </c>
      <c r="V76" s="10"/>
      <c r="W76" s="10">
        <f t="shared" ref="W76:AC76" si="103">SUM(W74:W75)</f>
        <v>0</v>
      </c>
      <c r="X76" s="10">
        <f t="shared" si="103"/>
        <v>0</v>
      </c>
      <c r="Y76" s="10">
        <f t="shared" si="103"/>
        <v>0</v>
      </c>
      <c r="Z76" s="10">
        <f t="shared" si="103"/>
        <v>0</v>
      </c>
      <c r="AA76" s="10">
        <f t="shared" si="103"/>
        <v>0</v>
      </c>
      <c r="AB76" s="10">
        <f t="shared" si="103"/>
        <v>0</v>
      </c>
      <c r="AC76" s="10">
        <f t="shared" si="103"/>
        <v>0</v>
      </c>
      <c r="AD76" s="142">
        <f>SUM(W76:AC76)</f>
        <v>0</v>
      </c>
      <c r="AE76" s="5"/>
      <c r="AF76" s="10">
        <f t="shared" ref="AF76:AG76" si="104">SUM(AF74:AF75)</f>
        <v>0</v>
      </c>
      <c r="AG76" s="10">
        <f t="shared" si="104"/>
        <v>0</v>
      </c>
      <c r="AH76" s="142">
        <f>SUM(AF76:AG76)</f>
        <v>0</v>
      </c>
      <c r="AI76" s="5"/>
      <c r="AJ76" s="10">
        <f t="shared" ref="AJ76:AV76" si="105">SUM(AJ74:AJ75)</f>
        <v>0</v>
      </c>
      <c r="AK76" s="10">
        <f t="shared" si="105"/>
        <v>0</v>
      </c>
      <c r="AL76" s="10">
        <f t="shared" si="105"/>
        <v>0</v>
      </c>
      <c r="AM76" s="10">
        <f t="shared" si="105"/>
        <v>0</v>
      </c>
      <c r="AN76" s="10">
        <f t="shared" si="105"/>
        <v>0</v>
      </c>
      <c r="AO76" s="10">
        <f t="shared" si="105"/>
        <v>0</v>
      </c>
      <c r="AP76" s="10">
        <f t="shared" si="105"/>
        <v>0</v>
      </c>
      <c r="AQ76" s="10">
        <f t="shared" si="105"/>
        <v>0</v>
      </c>
      <c r="AR76" s="10">
        <f t="shared" si="105"/>
        <v>0</v>
      </c>
      <c r="AS76" s="10">
        <f t="shared" si="105"/>
        <v>0</v>
      </c>
      <c r="AT76" s="10">
        <f t="shared" si="105"/>
        <v>0</v>
      </c>
      <c r="AU76" s="10">
        <f t="shared" si="105"/>
        <v>0</v>
      </c>
      <c r="AV76" s="10">
        <f t="shared" si="105"/>
        <v>0</v>
      </c>
      <c r="AW76" s="142">
        <f>SUM(AJ76:AV76)</f>
        <v>0</v>
      </c>
      <c r="AX76" s="5"/>
      <c r="AY76" s="142">
        <f t="shared" ref="AY76" si="106">SUM(AY74:AY75)</f>
        <v>0</v>
      </c>
      <c r="AZ76" s="5"/>
      <c r="BA76" s="10">
        <f t="shared" ref="BA76" si="107">SUM(BA74:BA75)</f>
        <v>0</v>
      </c>
      <c r="BB76" s="10">
        <f t="shared" ref="BB76" si="108">SUM(BB74:BB75)</f>
        <v>0</v>
      </c>
      <c r="BC76" s="10">
        <f t="shared" ref="BC76" si="109">SUM(BC74:BC75)</f>
        <v>0</v>
      </c>
      <c r="BD76" s="10">
        <f t="shared" ref="BD76" si="110">SUM(BD74:BD75)</f>
        <v>0</v>
      </c>
      <c r="BE76" s="10">
        <f t="shared" ref="BE76" si="111">SUM(BE74:BE75)</f>
        <v>0</v>
      </c>
      <c r="BF76" s="10">
        <f t="shared" ref="BF76" si="112">SUM(BF74:BF75)</f>
        <v>0</v>
      </c>
      <c r="BG76" s="10">
        <f t="shared" ref="BG76" si="113">SUM(BG74:BG75)</f>
        <v>0</v>
      </c>
      <c r="BH76" s="10">
        <f t="shared" ref="BH76" si="114">SUM(BH74:BH75)</f>
        <v>0</v>
      </c>
      <c r="BI76" s="142">
        <f>SUM(BA76:BH76)</f>
        <v>0</v>
      </c>
      <c r="BJ76" s="5"/>
      <c r="BK76" s="10">
        <f t="shared" ref="BK76" si="115">SUM(BK74:BK75)</f>
        <v>0</v>
      </c>
      <c r="BL76" s="10">
        <f t="shared" ref="BL76" si="116">SUM(BL74:BL75)</f>
        <v>0</v>
      </c>
      <c r="BM76" s="10">
        <f t="shared" ref="BM76" si="117">SUM(BM74:BM75)</f>
        <v>0</v>
      </c>
      <c r="BN76" s="10">
        <f t="shared" ref="BN76" si="118">SUM(BN74:BN75)</f>
        <v>0</v>
      </c>
      <c r="BO76" s="10">
        <f t="shared" ref="BO76" si="119">SUM(BO74:BO75)</f>
        <v>0</v>
      </c>
      <c r="BP76" s="10">
        <f t="shared" ref="BP76" si="120">SUM(BP74:BP75)</f>
        <v>0</v>
      </c>
      <c r="BQ76" s="10">
        <f t="shared" ref="BQ76" si="121">SUM(BQ74:BQ75)</f>
        <v>0</v>
      </c>
      <c r="BR76" s="10">
        <f t="shared" ref="BR76" si="122">SUM(BR74:BR75)</f>
        <v>0</v>
      </c>
      <c r="BS76" s="142">
        <f>SUM(BK76:BR76)</f>
        <v>0</v>
      </c>
      <c r="BT76" s="5"/>
      <c r="BU76" s="5"/>
      <c r="BV76" s="5"/>
      <c r="BW76" s="5"/>
      <c r="BX76" s="5"/>
      <c r="BY76" s="10">
        <f>SUM(BY74:BY75)</f>
        <v>0</v>
      </c>
      <c r="BZ76" s="10">
        <f t="shared" ref="BZ76:CG76" si="123">SUM(BZ74:BZ75)</f>
        <v>0</v>
      </c>
      <c r="CA76" s="10">
        <f t="shared" si="123"/>
        <v>0</v>
      </c>
      <c r="CB76" s="10">
        <f t="shared" si="123"/>
        <v>0</v>
      </c>
      <c r="CC76" s="10">
        <f t="shared" si="123"/>
        <v>0</v>
      </c>
      <c r="CD76" s="10">
        <f t="shared" si="123"/>
        <v>0</v>
      </c>
      <c r="CE76" s="10">
        <f t="shared" si="123"/>
        <v>0</v>
      </c>
      <c r="CF76" s="10">
        <f t="shared" si="123"/>
        <v>0</v>
      </c>
      <c r="CG76" s="10">
        <f t="shared" si="123"/>
        <v>0</v>
      </c>
      <c r="CH76" s="142">
        <f>SUM(BY76:CG76)</f>
        <v>0</v>
      </c>
      <c r="CI76" s="5"/>
      <c r="CJ76" s="10">
        <f t="shared" ref="CJ76" si="124">SUM(CJ74:CJ75)</f>
        <v>0</v>
      </c>
      <c r="CK76" s="10">
        <f t="shared" ref="CK76" si="125">SUM(CK74:CK75)</f>
        <v>0</v>
      </c>
      <c r="CL76" s="10">
        <f t="shared" ref="CL76" si="126">SUM(CL74:CL75)</f>
        <v>0</v>
      </c>
      <c r="CM76" s="10">
        <f t="shared" ref="CM76" si="127">SUM(CM74:CM75)</f>
        <v>0</v>
      </c>
      <c r="CN76" s="10">
        <f t="shared" ref="CN76" si="128">SUM(CN74:CN75)</f>
        <v>0</v>
      </c>
      <c r="CO76" s="10">
        <f t="shared" ref="CO76" si="129">SUM(CO74:CO75)</f>
        <v>0</v>
      </c>
      <c r="CP76" s="10">
        <f t="shared" ref="CP76" si="130">SUM(CP74:CP75)</f>
        <v>0</v>
      </c>
      <c r="CQ76" s="10">
        <f t="shared" ref="CQ76" si="131">SUM(CQ74:CQ75)</f>
        <v>0</v>
      </c>
      <c r="CR76" s="10">
        <f t="shared" ref="CR76" si="132">SUM(CR74:CR75)</f>
        <v>0</v>
      </c>
      <c r="CS76" s="10">
        <f t="shared" ref="CS76" si="133">SUM(CS74:CS75)</f>
        <v>0</v>
      </c>
      <c r="CT76" s="10">
        <f t="shared" ref="CT76" si="134">SUM(CT74:CT75)</f>
        <v>0</v>
      </c>
      <c r="CU76" s="10">
        <f t="shared" ref="CU76" si="135">SUM(CU74:CU75)</f>
        <v>0</v>
      </c>
      <c r="CV76" s="10">
        <f t="shared" ref="CV76" si="136">SUM(CV74:CV75)</f>
        <v>0</v>
      </c>
      <c r="CW76" s="10">
        <f t="shared" ref="CW76" si="137">SUM(CW74:CW75)</f>
        <v>0</v>
      </c>
      <c r="CX76" s="10">
        <f t="shared" ref="CX76" si="138">SUM(CX74:CX75)</f>
        <v>0</v>
      </c>
      <c r="CY76" s="10">
        <f t="shared" ref="CY76" si="139">SUM(CY74:CY75)</f>
        <v>0</v>
      </c>
      <c r="CZ76" s="10">
        <f t="shared" ref="CZ76" si="140">SUM(CZ74:CZ75)</f>
        <v>0</v>
      </c>
      <c r="DA76" s="142">
        <f>SUM(CJ76:CZ76)</f>
        <v>0</v>
      </c>
      <c r="DB76" s="5"/>
      <c r="DC76" s="5"/>
      <c r="DD76" s="5"/>
      <c r="DE76" s="5"/>
      <c r="DF76" s="5"/>
      <c r="DG76" s="5"/>
      <c r="DH76" s="5"/>
      <c r="DI76" s="5"/>
      <c r="DJ76" s="5"/>
      <c r="DK76" s="10"/>
      <c r="DL76" s="5"/>
      <c r="DM76" s="5"/>
      <c r="DN76" s="5"/>
      <c r="DO76" s="5"/>
      <c r="DP76" s="5"/>
      <c r="DQ76" s="5"/>
      <c r="DR76" s="5"/>
      <c r="DS76" s="5"/>
      <c r="EJ76" s="9"/>
    </row>
    <row r="77" spans="2:140" s="11" customFormat="1" ht="10.050000000000001" customHeight="1" thickBot="1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10"/>
      <c r="DL77" s="5"/>
      <c r="DM77" s="5"/>
      <c r="DN77" s="5"/>
      <c r="DO77" s="5"/>
      <c r="DP77" s="5"/>
      <c r="DQ77" s="5"/>
      <c r="DR77" s="5"/>
      <c r="DS77" s="5"/>
      <c r="EJ77" s="9"/>
    </row>
    <row r="78" spans="2:140" s="11" customFormat="1" ht="12.45" customHeight="1" x14ac:dyDescent="0.2">
      <c r="B78" s="111" t="s">
        <v>89</v>
      </c>
      <c r="C78" s="290"/>
      <c r="D78" s="338" t="s">
        <v>91</v>
      </c>
      <c r="E78" s="339"/>
      <c r="F78" s="339"/>
      <c r="G78" s="339"/>
      <c r="H78" s="339"/>
      <c r="I78" s="339"/>
      <c r="J78" s="339"/>
      <c r="K78" s="339"/>
      <c r="L78" s="339"/>
      <c r="M78" s="171">
        <f>COUNTIF(SEGUIMIENTO!AD$23:AD$122,"1")</f>
        <v>0</v>
      </c>
      <c r="N78" s="22"/>
      <c r="O78" s="169">
        <f>+BY16</f>
        <v>0</v>
      </c>
      <c r="P78" s="14">
        <f>+BY17</f>
        <v>0</v>
      </c>
      <c r="Q78" s="184">
        <f>+BY18</f>
        <v>0</v>
      </c>
      <c r="R78" s="14">
        <f>+BY19</f>
        <v>0</v>
      </c>
      <c r="S78" s="186">
        <f>+BY20</f>
        <v>0</v>
      </c>
      <c r="T78" s="13">
        <f>+BY21</f>
        <v>0</v>
      </c>
      <c r="U78" s="22"/>
      <c r="V78" s="22"/>
      <c r="W78" s="169">
        <f>+BY24</f>
        <v>0</v>
      </c>
      <c r="X78" s="14">
        <f>+BY25</f>
        <v>0</v>
      </c>
      <c r="Y78" s="184">
        <f>+BY26</f>
        <v>0</v>
      </c>
      <c r="Z78" s="14">
        <f>+BY27</f>
        <v>0</v>
      </c>
      <c r="AA78" s="186">
        <f>+BY28</f>
        <v>0</v>
      </c>
      <c r="AB78" s="14">
        <f>+BY29</f>
        <v>0</v>
      </c>
      <c r="AC78" s="191">
        <f>+BY30</f>
        <v>0</v>
      </c>
      <c r="AD78" s="22"/>
      <c r="AE78" s="22"/>
      <c r="AF78" s="169">
        <f>+BY33</f>
        <v>0</v>
      </c>
      <c r="AG78" s="13">
        <f>+BY34</f>
        <v>0</v>
      </c>
      <c r="AH78" s="22"/>
      <c r="AI78" s="22"/>
      <c r="AJ78" s="169">
        <f>+BY37</f>
        <v>0</v>
      </c>
      <c r="AK78" s="14">
        <f>+BY38</f>
        <v>0</v>
      </c>
      <c r="AL78" s="184">
        <f>+BY39</f>
        <v>0</v>
      </c>
      <c r="AM78" s="14">
        <f>+BY40</f>
        <v>0</v>
      </c>
      <c r="AN78" s="186">
        <f>+BY41</f>
        <v>0</v>
      </c>
      <c r="AO78" s="14">
        <f>+BY42</f>
        <v>0</v>
      </c>
      <c r="AP78" s="267">
        <f>+BY43</f>
        <v>0</v>
      </c>
      <c r="AQ78" s="158">
        <f>+BY44</f>
        <v>0</v>
      </c>
      <c r="AR78" s="260">
        <f>+BY45</f>
        <v>0</v>
      </c>
      <c r="AS78" s="158">
        <f>+BY46</f>
        <v>0</v>
      </c>
      <c r="AT78" s="261">
        <f>+BY47</f>
        <v>0</v>
      </c>
      <c r="AU78" s="158">
        <f>+BY48</f>
        <v>0</v>
      </c>
      <c r="AV78" s="262">
        <f>+BY49</f>
        <v>0</v>
      </c>
      <c r="AW78" s="22"/>
      <c r="AX78" s="22"/>
      <c r="AY78" s="192">
        <f>+BY52</f>
        <v>0</v>
      </c>
      <c r="AZ78" s="22"/>
      <c r="BA78" s="169">
        <f>+BY54</f>
        <v>0</v>
      </c>
      <c r="BB78" s="14">
        <f>+BY55</f>
        <v>0</v>
      </c>
      <c r="BC78" s="184">
        <f>+BY56</f>
        <v>0</v>
      </c>
      <c r="BD78" s="14">
        <f>+BY57</f>
        <v>0</v>
      </c>
      <c r="BE78" s="186">
        <f>+BY58</f>
        <v>0</v>
      </c>
      <c r="BF78" s="14">
        <f>+BY59</f>
        <v>0</v>
      </c>
      <c r="BG78" s="267">
        <f>+BY60</f>
        <v>0</v>
      </c>
      <c r="BH78" s="159">
        <f>+BY61</f>
        <v>0</v>
      </c>
      <c r="BI78" s="22"/>
      <c r="BJ78" s="22"/>
      <c r="BK78" s="169">
        <f>+BY64</f>
        <v>0</v>
      </c>
      <c r="BL78" s="14">
        <f>+BY65</f>
        <v>0</v>
      </c>
      <c r="BM78" s="184">
        <f>+BY66</f>
        <v>0</v>
      </c>
      <c r="BN78" s="14">
        <f>+BY67</f>
        <v>0</v>
      </c>
      <c r="BO78" s="186">
        <f>+BY68</f>
        <v>0</v>
      </c>
      <c r="BP78" s="14">
        <f>+BY69</f>
        <v>0</v>
      </c>
      <c r="BQ78" s="287">
        <f>+BY70</f>
        <v>0</v>
      </c>
      <c r="BR78" s="159">
        <f>+BY71</f>
        <v>0</v>
      </c>
      <c r="BS78" s="22"/>
      <c r="BT78" s="22"/>
      <c r="BU78" s="169">
        <f>+BY74</f>
        <v>0</v>
      </c>
      <c r="BV78" s="13">
        <f>+BY75</f>
        <v>0</v>
      </c>
      <c r="BW78" s="22"/>
      <c r="BX78" s="22"/>
      <c r="BY78" s="156"/>
      <c r="BZ78" s="156"/>
      <c r="CA78" s="156"/>
      <c r="CB78" s="156"/>
      <c r="CC78" s="156"/>
      <c r="CD78" s="156"/>
      <c r="CE78" s="156"/>
      <c r="CF78" s="156"/>
      <c r="CG78" s="156"/>
      <c r="CH78" s="22"/>
      <c r="CI78" s="22"/>
      <c r="CJ78" s="169">
        <f>+BY89</f>
        <v>0</v>
      </c>
      <c r="CK78" s="14">
        <f>+BY90</f>
        <v>0</v>
      </c>
      <c r="CL78" s="184">
        <f>+BY91</f>
        <v>0</v>
      </c>
      <c r="CM78" s="14">
        <f>+BY92</f>
        <v>0</v>
      </c>
      <c r="CN78" s="186">
        <f>+BY93</f>
        <v>0</v>
      </c>
      <c r="CO78" s="14">
        <f>+BY94</f>
        <v>0</v>
      </c>
      <c r="CP78" s="287">
        <f>+BY95</f>
        <v>0</v>
      </c>
      <c r="CQ78" s="158">
        <f>+BY96</f>
        <v>0</v>
      </c>
      <c r="CR78" s="260">
        <f>+BY97</f>
        <v>0</v>
      </c>
      <c r="CS78" s="14">
        <f>+BY98</f>
        <v>0</v>
      </c>
      <c r="CT78" s="261">
        <f>+BY99</f>
        <v>0</v>
      </c>
      <c r="CU78" s="14">
        <f>+BY100</f>
        <v>0</v>
      </c>
      <c r="CV78" s="272">
        <f>+BY101</f>
        <v>0</v>
      </c>
      <c r="CW78" s="14">
        <f>+BY102</f>
        <v>0</v>
      </c>
      <c r="CX78" s="273">
        <f>+BY103</f>
        <v>0</v>
      </c>
      <c r="CY78" s="158">
        <f>+BY104</f>
        <v>0</v>
      </c>
      <c r="CZ78" s="275">
        <f>+BY105</f>
        <v>0</v>
      </c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10"/>
      <c r="DL78" s="5"/>
      <c r="DM78" s="5"/>
      <c r="DN78" s="5"/>
      <c r="DO78" s="5"/>
      <c r="DP78" s="5"/>
      <c r="DQ78" s="5"/>
      <c r="DR78" s="5"/>
      <c r="DS78" s="5"/>
      <c r="EJ78" s="9"/>
    </row>
    <row r="79" spans="2:140" s="11" customFormat="1" ht="12.45" customHeight="1" x14ac:dyDescent="0.2">
      <c r="B79" s="112"/>
      <c r="C79" s="291"/>
      <c r="D79" s="314" t="s">
        <v>92</v>
      </c>
      <c r="E79" s="315"/>
      <c r="F79" s="315"/>
      <c r="G79" s="315"/>
      <c r="H79" s="315"/>
      <c r="I79" s="315"/>
      <c r="J79" s="315"/>
      <c r="K79" s="315"/>
      <c r="L79" s="315"/>
      <c r="M79" s="151">
        <f>COUNTIF(SEGUIMIENTO!AD$23:AD$122,"2")</f>
        <v>0</v>
      </c>
      <c r="N79" s="22"/>
      <c r="O79" s="182">
        <f>+BZ16</f>
        <v>0</v>
      </c>
      <c r="P79" s="55">
        <f>+BZ17</f>
        <v>0</v>
      </c>
      <c r="Q79" s="166">
        <f>+BZ18</f>
        <v>0</v>
      </c>
      <c r="R79" s="55">
        <f>+BZ19</f>
        <v>0</v>
      </c>
      <c r="S79" s="161">
        <f>+BZ20</f>
        <v>0</v>
      </c>
      <c r="T79" s="16">
        <f>+BZ21</f>
        <v>0</v>
      </c>
      <c r="U79" s="22"/>
      <c r="V79" s="22"/>
      <c r="W79" s="182">
        <f>+BZ24</f>
        <v>0</v>
      </c>
      <c r="X79" s="55">
        <f>+BZ25</f>
        <v>0</v>
      </c>
      <c r="Y79" s="166">
        <f>+BZ26</f>
        <v>0</v>
      </c>
      <c r="Z79" s="55">
        <f>+BZ27</f>
        <v>0</v>
      </c>
      <c r="AA79" s="161">
        <f>+BZ28</f>
        <v>0</v>
      </c>
      <c r="AB79" s="55">
        <f>+BZ29</f>
        <v>0</v>
      </c>
      <c r="AC79" s="198">
        <f>+BZ30</f>
        <v>0</v>
      </c>
      <c r="AD79" s="22"/>
      <c r="AE79" s="22"/>
      <c r="AF79" s="182">
        <f>+BZ33</f>
        <v>0</v>
      </c>
      <c r="AG79" s="16">
        <f>+BZ34</f>
        <v>0</v>
      </c>
      <c r="AH79" s="22"/>
      <c r="AI79" s="22"/>
      <c r="AJ79" s="182">
        <f>+BZ37</f>
        <v>0</v>
      </c>
      <c r="AK79" s="55">
        <f>+BZ38</f>
        <v>0</v>
      </c>
      <c r="AL79" s="166">
        <f>+BZ39</f>
        <v>0</v>
      </c>
      <c r="AM79" s="55">
        <f>+BZ40</f>
        <v>0</v>
      </c>
      <c r="AN79" s="161">
        <f>+BZ41</f>
        <v>0</v>
      </c>
      <c r="AO79" s="55">
        <f>+BZ42</f>
        <v>0</v>
      </c>
      <c r="AP79" s="207">
        <f>+BZ43</f>
        <v>0</v>
      </c>
      <c r="AQ79" s="150">
        <f>+BZ44</f>
        <v>0</v>
      </c>
      <c r="AR79" s="209">
        <f>+BZ45</f>
        <v>0</v>
      </c>
      <c r="AS79" s="150">
        <f>+BZ46</f>
        <v>0</v>
      </c>
      <c r="AT79" s="211">
        <f>+BZ47</f>
        <v>0</v>
      </c>
      <c r="AU79" s="150">
        <f>+BZ48</f>
        <v>0</v>
      </c>
      <c r="AV79" s="201">
        <f>+BZ49</f>
        <v>0</v>
      </c>
      <c r="AW79" s="22"/>
      <c r="AX79" s="22"/>
      <c r="AY79" s="270">
        <f>+BZ52</f>
        <v>0</v>
      </c>
      <c r="AZ79" s="22"/>
      <c r="BA79" s="182">
        <f>+BZ54</f>
        <v>0</v>
      </c>
      <c r="BB79" s="55">
        <f>+BZ55</f>
        <v>0</v>
      </c>
      <c r="BC79" s="166">
        <f>+BZ56</f>
        <v>0</v>
      </c>
      <c r="BD79" s="55">
        <f>+BZ57</f>
        <v>0</v>
      </c>
      <c r="BE79" s="161">
        <f>+BZ58</f>
        <v>0</v>
      </c>
      <c r="BF79" s="55">
        <f>+BZ59</f>
        <v>0</v>
      </c>
      <c r="BG79" s="207">
        <f>+BZ60</f>
        <v>0</v>
      </c>
      <c r="BH79" s="151">
        <f>+BZ61</f>
        <v>0</v>
      </c>
      <c r="BI79" s="22"/>
      <c r="BJ79" s="22"/>
      <c r="BK79" s="182">
        <f>+BZ64</f>
        <v>0</v>
      </c>
      <c r="BL79" s="55">
        <f>+BZ65</f>
        <v>0</v>
      </c>
      <c r="BM79" s="166">
        <f>+BZ66</f>
        <v>0</v>
      </c>
      <c r="BN79" s="55">
        <f>+BZ67</f>
        <v>0</v>
      </c>
      <c r="BO79" s="161">
        <f>+BZ68</f>
        <v>0</v>
      </c>
      <c r="BP79" s="55">
        <f>+BZ69</f>
        <v>0</v>
      </c>
      <c r="BQ79" s="207">
        <f>+BZ70</f>
        <v>0</v>
      </c>
      <c r="BR79" s="151">
        <f>+BZ71</f>
        <v>0</v>
      </c>
      <c r="BS79" s="22"/>
      <c r="BT79" s="22"/>
      <c r="BU79" s="182">
        <f>+BZ74</f>
        <v>0</v>
      </c>
      <c r="BV79" s="16">
        <f>+BZ75</f>
        <v>0</v>
      </c>
      <c r="BW79" s="22"/>
      <c r="BX79" s="22"/>
      <c r="BY79" s="156"/>
      <c r="BZ79" s="156"/>
      <c r="CA79" s="156"/>
      <c r="CB79" s="156"/>
      <c r="CC79" s="156"/>
      <c r="CD79" s="156"/>
      <c r="CE79" s="156"/>
      <c r="CF79" s="156"/>
      <c r="CG79" s="156"/>
      <c r="CH79" s="22"/>
      <c r="CI79" s="22"/>
      <c r="CJ79" s="182">
        <f>+BZ89</f>
        <v>0</v>
      </c>
      <c r="CK79" s="55">
        <f>+BZ90</f>
        <v>0</v>
      </c>
      <c r="CL79" s="166">
        <f>+BZ91</f>
        <v>0</v>
      </c>
      <c r="CM79" s="55">
        <f>+BZ92</f>
        <v>0</v>
      </c>
      <c r="CN79" s="161">
        <f>+BZ93</f>
        <v>0</v>
      </c>
      <c r="CO79" s="55">
        <f>+BZ94</f>
        <v>0</v>
      </c>
      <c r="CP79" s="207">
        <f>+BZ95</f>
        <v>0</v>
      </c>
      <c r="CQ79" s="150">
        <f>+BZ96</f>
        <v>0</v>
      </c>
      <c r="CR79" s="209">
        <f>+BZ97</f>
        <v>0</v>
      </c>
      <c r="CS79" s="55">
        <f>+BZ98</f>
        <v>0</v>
      </c>
      <c r="CT79" s="211">
        <f>+BZ99</f>
        <v>0</v>
      </c>
      <c r="CU79" s="55">
        <f>+BZ100</f>
        <v>0</v>
      </c>
      <c r="CV79" s="215">
        <f>+BZ101</f>
        <v>0</v>
      </c>
      <c r="CW79" s="55">
        <f>+BZ102</f>
        <v>0</v>
      </c>
      <c r="CX79" s="245">
        <f>+BZ103</f>
        <v>0</v>
      </c>
      <c r="CY79" s="150">
        <f>+BZ104</f>
        <v>0</v>
      </c>
      <c r="CZ79" s="231">
        <f>+BZ105</f>
        <v>0</v>
      </c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10"/>
      <c r="DL79" s="5"/>
      <c r="DM79" s="5"/>
      <c r="DN79" s="5"/>
      <c r="DO79" s="5"/>
      <c r="DP79" s="5"/>
      <c r="DQ79" s="5"/>
      <c r="DR79" s="5"/>
      <c r="DS79" s="5"/>
      <c r="EJ79" s="9"/>
    </row>
    <row r="80" spans="2:140" s="11" customFormat="1" ht="12.45" customHeight="1" x14ac:dyDescent="0.2">
      <c r="B80" s="112"/>
      <c r="C80" s="291"/>
      <c r="D80" s="340" t="s">
        <v>93</v>
      </c>
      <c r="E80" s="335"/>
      <c r="F80" s="335"/>
      <c r="G80" s="335"/>
      <c r="H80" s="335"/>
      <c r="I80" s="335"/>
      <c r="J80" s="335"/>
      <c r="K80" s="335"/>
      <c r="L80" s="335"/>
      <c r="M80" s="165">
        <f>COUNTIF(SEGUIMIENTO!AD$23:AD$122,"3")</f>
        <v>0</v>
      </c>
      <c r="N80" s="22"/>
      <c r="O80" s="182">
        <f>+CA16</f>
        <v>0</v>
      </c>
      <c r="P80" s="55">
        <f>+CA17</f>
        <v>0</v>
      </c>
      <c r="Q80" s="166">
        <f>+CA18</f>
        <v>0</v>
      </c>
      <c r="R80" s="55">
        <f>+CA19</f>
        <v>0</v>
      </c>
      <c r="S80" s="161">
        <f>+CA20</f>
        <v>0</v>
      </c>
      <c r="T80" s="16">
        <f>+CA21</f>
        <v>0</v>
      </c>
      <c r="U80" s="22"/>
      <c r="V80" s="22"/>
      <c r="W80" s="182">
        <f>+CA24</f>
        <v>0</v>
      </c>
      <c r="X80" s="55">
        <f>+CA25</f>
        <v>0</v>
      </c>
      <c r="Y80" s="166">
        <f>+CA26</f>
        <v>0</v>
      </c>
      <c r="Z80" s="55">
        <f>+CA27</f>
        <v>0</v>
      </c>
      <c r="AA80" s="161">
        <f>+CA28</f>
        <v>0</v>
      </c>
      <c r="AB80" s="55">
        <f>+CA29</f>
        <v>0</v>
      </c>
      <c r="AC80" s="198">
        <f>+CA30</f>
        <v>0</v>
      </c>
      <c r="AD80" s="22"/>
      <c r="AE80" s="22"/>
      <c r="AF80" s="182">
        <f>+CA33</f>
        <v>0</v>
      </c>
      <c r="AG80" s="16">
        <f>+CA34</f>
        <v>0</v>
      </c>
      <c r="AH80" s="22"/>
      <c r="AI80" s="22"/>
      <c r="AJ80" s="182">
        <f>+CA37</f>
        <v>0</v>
      </c>
      <c r="AK80" s="55">
        <f>+CA38</f>
        <v>0</v>
      </c>
      <c r="AL80" s="166">
        <f>+CA39</f>
        <v>0</v>
      </c>
      <c r="AM80" s="55">
        <f>+CA40</f>
        <v>0</v>
      </c>
      <c r="AN80" s="161">
        <f>+CA41</f>
        <v>0</v>
      </c>
      <c r="AO80" s="55">
        <f>+CA42</f>
        <v>0</v>
      </c>
      <c r="AP80" s="207">
        <f>+CA43</f>
        <v>0</v>
      </c>
      <c r="AQ80" s="150">
        <f>+CA44</f>
        <v>0</v>
      </c>
      <c r="AR80" s="209">
        <f>+CA45</f>
        <v>0</v>
      </c>
      <c r="AS80" s="150">
        <f>+CA46</f>
        <v>0</v>
      </c>
      <c r="AT80" s="211">
        <f>+CA47</f>
        <v>0</v>
      </c>
      <c r="AU80" s="150">
        <f>+CA48</f>
        <v>0</v>
      </c>
      <c r="AV80" s="201">
        <f>+CA49</f>
        <v>0</v>
      </c>
      <c r="AW80" s="22"/>
      <c r="AX80" s="22"/>
      <c r="AY80" s="270">
        <f>+CA52</f>
        <v>0</v>
      </c>
      <c r="AZ80" s="22"/>
      <c r="BA80" s="182">
        <f>+CA54</f>
        <v>0</v>
      </c>
      <c r="BB80" s="55">
        <f>+CA55</f>
        <v>0</v>
      </c>
      <c r="BC80" s="166">
        <f>+CA56</f>
        <v>0</v>
      </c>
      <c r="BD80" s="55">
        <f>+CA57</f>
        <v>0</v>
      </c>
      <c r="BE80" s="161">
        <f>+CA58</f>
        <v>0</v>
      </c>
      <c r="BF80" s="55">
        <f>+CA59</f>
        <v>0</v>
      </c>
      <c r="BG80" s="207">
        <f>+CA60</f>
        <v>0</v>
      </c>
      <c r="BH80" s="151">
        <f>+CA61</f>
        <v>0</v>
      </c>
      <c r="BI80" s="22"/>
      <c r="BJ80" s="22"/>
      <c r="BK80" s="182">
        <f>+CA64</f>
        <v>0</v>
      </c>
      <c r="BL80" s="55">
        <f>+CA65</f>
        <v>0</v>
      </c>
      <c r="BM80" s="166">
        <f>+CA66</f>
        <v>0</v>
      </c>
      <c r="BN80" s="55">
        <f>+CA67</f>
        <v>0</v>
      </c>
      <c r="BO80" s="161">
        <f>+CA68</f>
        <v>0</v>
      </c>
      <c r="BP80" s="55">
        <f>+CA69</f>
        <v>0</v>
      </c>
      <c r="BQ80" s="288">
        <f>+CA70</f>
        <v>0</v>
      </c>
      <c r="BR80" s="151">
        <f>+CA71</f>
        <v>0</v>
      </c>
      <c r="BS80" s="22"/>
      <c r="BT80" s="22"/>
      <c r="BU80" s="182">
        <f>+CA74</f>
        <v>0</v>
      </c>
      <c r="BV80" s="16">
        <f>+CA75</f>
        <v>0</v>
      </c>
      <c r="BW80" s="22"/>
      <c r="BX80" s="22"/>
      <c r="BY80" s="156"/>
      <c r="BZ80" s="156"/>
      <c r="CA80" s="156"/>
      <c r="CB80" s="156"/>
      <c r="CC80" s="156"/>
      <c r="CD80" s="156"/>
      <c r="CE80" s="156"/>
      <c r="CF80" s="156"/>
      <c r="CG80" s="156"/>
      <c r="CH80" s="22"/>
      <c r="CI80" s="22"/>
      <c r="CJ80" s="182">
        <f>+CA89</f>
        <v>0</v>
      </c>
      <c r="CK80" s="55">
        <f>+CA90</f>
        <v>0</v>
      </c>
      <c r="CL80" s="166">
        <f>+CA91</f>
        <v>0</v>
      </c>
      <c r="CM80" s="55">
        <f>+CA92</f>
        <v>0</v>
      </c>
      <c r="CN80" s="161">
        <f>+CA93</f>
        <v>0</v>
      </c>
      <c r="CO80" s="55">
        <f>+CA94</f>
        <v>0</v>
      </c>
      <c r="CP80" s="288">
        <f>+CA95</f>
        <v>0</v>
      </c>
      <c r="CQ80" s="150">
        <f>+CA96</f>
        <v>0</v>
      </c>
      <c r="CR80" s="209">
        <f>+CA97</f>
        <v>0</v>
      </c>
      <c r="CS80" s="55">
        <f>+CA98</f>
        <v>0</v>
      </c>
      <c r="CT80" s="211">
        <f>+CA99</f>
        <v>0</v>
      </c>
      <c r="CU80" s="55">
        <f>+CA100</f>
        <v>0</v>
      </c>
      <c r="CV80" s="215">
        <f>+CA101</f>
        <v>0</v>
      </c>
      <c r="CW80" s="55">
        <f>+CA102</f>
        <v>0</v>
      </c>
      <c r="CX80" s="245">
        <f>+CA103</f>
        <v>0</v>
      </c>
      <c r="CY80" s="150">
        <f>+CA104</f>
        <v>0</v>
      </c>
      <c r="CZ80" s="231">
        <f>+CA105</f>
        <v>0</v>
      </c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10"/>
      <c r="DL80" s="5"/>
      <c r="DM80" s="5"/>
      <c r="DN80" s="5"/>
      <c r="DO80" s="5"/>
      <c r="DP80" s="5"/>
      <c r="DQ80" s="5"/>
      <c r="DR80" s="5"/>
      <c r="DS80" s="5"/>
      <c r="EJ80" s="9"/>
    </row>
    <row r="81" spans="2:140" s="11" customFormat="1" ht="12.45" customHeight="1" x14ac:dyDescent="0.2">
      <c r="B81" s="112"/>
      <c r="C81" s="291"/>
      <c r="D81" s="314" t="s">
        <v>94</v>
      </c>
      <c r="E81" s="315"/>
      <c r="F81" s="315"/>
      <c r="G81" s="315"/>
      <c r="H81" s="315"/>
      <c r="I81" s="315"/>
      <c r="J81" s="315"/>
      <c r="K81" s="315"/>
      <c r="L81" s="315"/>
      <c r="M81" s="151">
        <f>COUNTIF(SEGUIMIENTO!AD$23:AD$122,"4")</f>
        <v>0</v>
      </c>
      <c r="N81" s="22"/>
      <c r="O81" s="182">
        <f>+CB16</f>
        <v>0</v>
      </c>
      <c r="P81" s="55">
        <f>+CB17</f>
        <v>0</v>
      </c>
      <c r="Q81" s="166">
        <f>+CB18</f>
        <v>0</v>
      </c>
      <c r="R81" s="55">
        <f>+CB19</f>
        <v>0</v>
      </c>
      <c r="S81" s="161">
        <f>+CB20</f>
        <v>0</v>
      </c>
      <c r="T81" s="16">
        <f>+CB21</f>
        <v>0</v>
      </c>
      <c r="U81" s="22"/>
      <c r="V81" s="22"/>
      <c r="W81" s="182">
        <f>+CB24</f>
        <v>0</v>
      </c>
      <c r="X81" s="55">
        <f>+CB25</f>
        <v>0</v>
      </c>
      <c r="Y81" s="166">
        <f>+CB26</f>
        <v>0</v>
      </c>
      <c r="Z81" s="55">
        <f>+CB27</f>
        <v>0</v>
      </c>
      <c r="AA81" s="161">
        <f>+CB28</f>
        <v>0</v>
      </c>
      <c r="AB81" s="55">
        <f>+CB29</f>
        <v>0</v>
      </c>
      <c r="AC81" s="198">
        <f>+CB30</f>
        <v>0</v>
      </c>
      <c r="AD81" s="22"/>
      <c r="AE81" s="22"/>
      <c r="AF81" s="182">
        <f>+CB33</f>
        <v>0</v>
      </c>
      <c r="AG81" s="16">
        <f>+CB34</f>
        <v>0</v>
      </c>
      <c r="AH81" s="22"/>
      <c r="AI81" s="22"/>
      <c r="AJ81" s="182">
        <f>+CB37</f>
        <v>0</v>
      </c>
      <c r="AK81" s="55">
        <f>+CB38</f>
        <v>0</v>
      </c>
      <c r="AL81" s="166">
        <f>+CB39</f>
        <v>0</v>
      </c>
      <c r="AM81" s="55">
        <f>+CB40</f>
        <v>0</v>
      </c>
      <c r="AN81" s="161">
        <f>+CB41</f>
        <v>0</v>
      </c>
      <c r="AO81" s="55">
        <f>+CB42</f>
        <v>0</v>
      </c>
      <c r="AP81" s="207">
        <f>+CB43</f>
        <v>0</v>
      </c>
      <c r="AQ81" s="150">
        <f>+CB44</f>
        <v>0</v>
      </c>
      <c r="AR81" s="209">
        <f>+CB45</f>
        <v>0</v>
      </c>
      <c r="AS81" s="150">
        <f>+CB46</f>
        <v>0</v>
      </c>
      <c r="AT81" s="211">
        <f>+CB47</f>
        <v>0</v>
      </c>
      <c r="AU81" s="150">
        <f>+CB48</f>
        <v>0</v>
      </c>
      <c r="AV81" s="201">
        <f>+CB49</f>
        <v>0</v>
      </c>
      <c r="AW81" s="22"/>
      <c r="AX81" s="22"/>
      <c r="AY81" s="270">
        <f>+CB52</f>
        <v>0</v>
      </c>
      <c r="AZ81" s="22"/>
      <c r="BA81" s="182">
        <f>+CB54</f>
        <v>0</v>
      </c>
      <c r="BB81" s="55">
        <f>+CB55</f>
        <v>0</v>
      </c>
      <c r="BC81" s="166">
        <f>+CB56</f>
        <v>0</v>
      </c>
      <c r="BD81" s="55">
        <f>+CB57</f>
        <v>0</v>
      </c>
      <c r="BE81" s="161">
        <f>+CB58</f>
        <v>0</v>
      </c>
      <c r="BF81" s="55">
        <f>+CB59</f>
        <v>0</v>
      </c>
      <c r="BG81" s="207">
        <f>+CB60</f>
        <v>0</v>
      </c>
      <c r="BH81" s="151">
        <f>+CB61</f>
        <v>0</v>
      </c>
      <c r="BI81" s="22"/>
      <c r="BJ81" s="22"/>
      <c r="BK81" s="182">
        <f>+CB64</f>
        <v>0</v>
      </c>
      <c r="BL81" s="55">
        <f>+CB65</f>
        <v>0</v>
      </c>
      <c r="BM81" s="166">
        <f>+CB66</f>
        <v>0</v>
      </c>
      <c r="BN81" s="55">
        <f>+CB67</f>
        <v>0</v>
      </c>
      <c r="BO81" s="161">
        <f>+CB68</f>
        <v>0</v>
      </c>
      <c r="BP81" s="55">
        <f>+CB69</f>
        <v>0</v>
      </c>
      <c r="BQ81" s="288">
        <f>+CB70</f>
        <v>0</v>
      </c>
      <c r="BR81" s="151">
        <f>+CB71</f>
        <v>0</v>
      </c>
      <c r="BS81" s="22"/>
      <c r="BT81" s="22"/>
      <c r="BU81" s="182">
        <f>+CB74</f>
        <v>0</v>
      </c>
      <c r="BV81" s="16">
        <f>+CB75</f>
        <v>0</v>
      </c>
      <c r="BW81" s="22"/>
      <c r="BX81" s="22"/>
      <c r="BY81" s="156"/>
      <c r="BZ81" s="156"/>
      <c r="CA81" s="156"/>
      <c r="CB81" s="156"/>
      <c r="CC81" s="156"/>
      <c r="CD81" s="156"/>
      <c r="CE81" s="156"/>
      <c r="CF81" s="156"/>
      <c r="CG81" s="156"/>
      <c r="CH81" s="22"/>
      <c r="CI81" s="22"/>
      <c r="CJ81" s="182">
        <f>+CB89</f>
        <v>0</v>
      </c>
      <c r="CK81" s="55">
        <f>+CB90</f>
        <v>0</v>
      </c>
      <c r="CL81" s="166">
        <f>+CB91</f>
        <v>0</v>
      </c>
      <c r="CM81" s="55">
        <f>+CB92</f>
        <v>0</v>
      </c>
      <c r="CN81" s="161">
        <f>+CB93</f>
        <v>0</v>
      </c>
      <c r="CO81" s="55">
        <f>+CB94</f>
        <v>0</v>
      </c>
      <c r="CP81" s="288">
        <f>+CB95</f>
        <v>0</v>
      </c>
      <c r="CQ81" s="150">
        <f>+CB96</f>
        <v>0</v>
      </c>
      <c r="CR81" s="209">
        <f>+CB97</f>
        <v>0</v>
      </c>
      <c r="CS81" s="55">
        <f>+CB98</f>
        <v>0</v>
      </c>
      <c r="CT81" s="211">
        <f>+CB99</f>
        <v>0</v>
      </c>
      <c r="CU81" s="55">
        <f>+CB100</f>
        <v>0</v>
      </c>
      <c r="CV81" s="215">
        <f>+CB101</f>
        <v>0</v>
      </c>
      <c r="CW81" s="55">
        <f>+CB102</f>
        <v>0</v>
      </c>
      <c r="CX81" s="245">
        <f>+CB103</f>
        <v>0</v>
      </c>
      <c r="CY81" s="150">
        <f>+CB104</f>
        <v>0</v>
      </c>
      <c r="CZ81" s="231">
        <f>+CB105</f>
        <v>0</v>
      </c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10"/>
      <c r="DL81" s="5"/>
      <c r="DM81" s="5"/>
      <c r="DN81" s="5"/>
      <c r="DO81" s="5"/>
      <c r="DP81" s="5"/>
      <c r="DQ81" s="5"/>
      <c r="DR81" s="5"/>
      <c r="DS81" s="5"/>
      <c r="EJ81" s="9"/>
    </row>
    <row r="82" spans="2:140" s="11" customFormat="1" ht="12.45" customHeight="1" x14ac:dyDescent="0.2">
      <c r="B82" s="112"/>
      <c r="C82" s="291"/>
      <c r="D82" s="316" t="s">
        <v>95</v>
      </c>
      <c r="E82" s="317"/>
      <c r="F82" s="317"/>
      <c r="G82" s="317"/>
      <c r="H82" s="317"/>
      <c r="I82" s="317"/>
      <c r="J82" s="317"/>
      <c r="K82" s="317"/>
      <c r="L82" s="317"/>
      <c r="M82" s="162">
        <f>COUNTIF(SEGUIMIENTO!AD$23:AD$122,"5")</f>
        <v>0</v>
      </c>
      <c r="N82" s="22"/>
      <c r="O82" s="182">
        <f>+CC16</f>
        <v>0</v>
      </c>
      <c r="P82" s="55">
        <f>+CC17</f>
        <v>0</v>
      </c>
      <c r="Q82" s="166">
        <f>+CC18</f>
        <v>0</v>
      </c>
      <c r="R82" s="55">
        <f>+CC19</f>
        <v>0</v>
      </c>
      <c r="S82" s="161">
        <f>+CC20</f>
        <v>0</v>
      </c>
      <c r="T82" s="16">
        <f>+CC21</f>
        <v>0</v>
      </c>
      <c r="U82" s="22"/>
      <c r="V82" s="22"/>
      <c r="W82" s="182">
        <f>+CC24</f>
        <v>0</v>
      </c>
      <c r="X82" s="55">
        <f>+CC25</f>
        <v>0</v>
      </c>
      <c r="Y82" s="166">
        <f>+CC26</f>
        <v>0</v>
      </c>
      <c r="Z82" s="55">
        <f>+CC27</f>
        <v>0</v>
      </c>
      <c r="AA82" s="161">
        <f>+CC28</f>
        <v>0</v>
      </c>
      <c r="AB82" s="55">
        <f>+CC29</f>
        <v>0</v>
      </c>
      <c r="AC82" s="198">
        <f>+CC30</f>
        <v>0</v>
      </c>
      <c r="AD82" s="22"/>
      <c r="AE82" s="22"/>
      <c r="AF82" s="182">
        <f>+CC33</f>
        <v>0</v>
      </c>
      <c r="AG82" s="16">
        <f>+CC34</f>
        <v>0</v>
      </c>
      <c r="AH82" s="22"/>
      <c r="AI82" s="22"/>
      <c r="AJ82" s="182">
        <f>+CC37</f>
        <v>0</v>
      </c>
      <c r="AK82" s="55">
        <f>+CC38</f>
        <v>0</v>
      </c>
      <c r="AL82" s="166">
        <f>+CC39</f>
        <v>0</v>
      </c>
      <c r="AM82" s="55">
        <f>+CC40</f>
        <v>0</v>
      </c>
      <c r="AN82" s="161">
        <f>+CC41</f>
        <v>0</v>
      </c>
      <c r="AO82" s="55">
        <f>+CC42</f>
        <v>0</v>
      </c>
      <c r="AP82" s="207">
        <f>+CC43</f>
        <v>0</v>
      </c>
      <c r="AQ82" s="150">
        <f>+CC44</f>
        <v>0</v>
      </c>
      <c r="AR82" s="209">
        <f>+CC45</f>
        <v>0</v>
      </c>
      <c r="AS82" s="150">
        <f>+CC46</f>
        <v>0</v>
      </c>
      <c r="AT82" s="211">
        <f>+CC47</f>
        <v>0</v>
      </c>
      <c r="AU82" s="150">
        <f>+CC48</f>
        <v>0</v>
      </c>
      <c r="AV82" s="201">
        <f>+CC49</f>
        <v>0</v>
      </c>
      <c r="AW82" s="22"/>
      <c r="AX82" s="22"/>
      <c r="AY82" s="270">
        <f>+CC52</f>
        <v>0</v>
      </c>
      <c r="AZ82" s="22"/>
      <c r="BA82" s="182">
        <f>+CC54</f>
        <v>0</v>
      </c>
      <c r="BB82" s="55">
        <f>+CC55</f>
        <v>0</v>
      </c>
      <c r="BC82" s="166">
        <f>+CC56</f>
        <v>0</v>
      </c>
      <c r="BD82" s="55">
        <f>+CC57</f>
        <v>0</v>
      </c>
      <c r="BE82" s="161">
        <f>+CC58</f>
        <v>0</v>
      </c>
      <c r="BF82" s="55">
        <f>+CC59</f>
        <v>0</v>
      </c>
      <c r="BG82" s="207">
        <f>+CC60</f>
        <v>0</v>
      </c>
      <c r="BH82" s="151">
        <f>+CC61</f>
        <v>0</v>
      </c>
      <c r="BI82" s="22"/>
      <c r="BJ82" s="22"/>
      <c r="BK82" s="182">
        <f>+CC64</f>
        <v>0</v>
      </c>
      <c r="BL82" s="55">
        <f>+CC65</f>
        <v>0</v>
      </c>
      <c r="BM82" s="166">
        <f>+CC66</f>
        <v>0</v>
      </c>
      <c r="BN82" s="55">
        <f>+CC67</f>
        <v>0</v>
      </c>
      <c r="BO82" s="161">
        <f>+CC68</f>
        <v>0</v>
      </c>
      <c r="BP82" s="55">
        <f>+CC69</f>
        <v>0</v>
      </c>
      <c r="BQ82" s="288">
        <f>+CC70</f>
        <v>0</v>
      </c>
      <c r="BR82" s="151">
        <f>+CC71</f>
        <v>0</v>
      </c>
      <c r="BS82" s="22"/>
      <c r="BT82" s="22"/>
      <c r="BU82" s="182">
        <f>+CC74</f>
        <v>0</v>
      </c>
      <c r="BV82" s="16">
        <f>+CC75</f>
        <v>0</v>
      </c>
      <c r="BW82" s="22"/>
      <c r="BX82" s="22"/>
      <c r="BY82" s="156"/>
      <c r="BZ82" s="156"/>
      <c r="CA82" s="156"/>
      <c r="CB82" s="156"/>
      <c r="CC82" s="156"/>
      <c r="CD82" s="156"/>
      <c r="CE82" s="156"/>
      <c r="CF82" s="156"/>
      <c r="CG82" s="156"/>
      <c r="CH82" s="22"/>
      <c r="CI82" s="22"/>
      <c r="CJ82" s="182">
        <f>+CC89</f>
        <v>0</v>
      </c>
      <c r="CK82" s="55">
        <f>+CC90</f>
        <v>0</v>
      </c>
      <c r="CL82" s="166">
        <f>+CC91</f>
        <v>0</v>
      </c>
      <c r="CM82" s="55">
        <f>+CC92</f>
        <v>0</v>
      </c>
      <c r="CN82" s="161">
        <f>+CC93</f>
        <v>0</v>
      </c>
      <c r="CO82" s="55">
        <f>+CC94</f>
        <v>0</v>
      </c>
      <c r="CP82" s="288">
        <f>+CC95</f>
        <v>0</v>
      </c>
      <c r="CQ82" s="150">
        <f>+CC96</f>
        <v>0</v>
      </c>
      <c r="CR82" s="209">
        <f>+CC97</f>
        <v>0</v>
      </c>
      <c r="CS82" s="55">
        <f>+CC98</f>
        <v>0</v>
      </c>
      <c r="CT82" s="211">
        <f>+CC99</f>
        <v>0</v>
      </c>
      <c r="CU82" s="55">
        <f>+CC100</f>
        <v>0</v>
      </c>
      <c r="CV82" s="215">
        <f>+CC101</f>
        <v>0</v>
      </c>
      <c r="CW82" s="55">
        <f>+CC102</f>
        <v>0</v>
      </c>
      <c r="CX82" s="245">
        <f>+CC103</f>
        <v>0</v>
      </c>
      <c r="CY82" s="150">
        <f>+CC104</f>
        <v>0</v>
      </c>
      <c r="CZ82" s="231">
        <f>+CC105</f>
        <v>0</v>
      </c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10"/>
      <c r="DL82" s="5"/>
      <c r="DM82" s="5"/>
      <c r="DN82" s="5"/>
      <c r="DO82" s="5"/>
      <c r="DP82" s="5"/>
      <c r="DQ82" s="5"/>
      <c r="DR82" s="5"/>
      <c r="DS82" s="5"/>
      <c r="EJ82" s="9"/>
    </row>
    <row r="83" spans="2:140" s="11" customFormat="1" ht="12.45" customHeight="1" x14ac:dyDescent="0.2">
      <c r="B83" s="112"/>
      <c r="C83" s="291"/>
      <c r="D83" s="314" t="s">
        <v>99</v>
      </c>
      <c r="E83" s="315"/>
      <c r="F83" s="315"/>
      <c r="G83" s="315"/>
      <c r="H83" s="315"/>
      <c r="I83" s="315"/>
      <c r="J83" s="315"/>
      <c r="K83" s="315"/>
      <c r="L83" s="315"/>
      <c r="M83" s="151">
        <f>COUNTIF(SEGUIMIENTO!AD$23:AD$122,"6")</f>
        <v>0</v>
      </c>
      <c r="N83" s="22"/>
      <c r="O83" s="182">
        <f>+CD16</f>
        <v>0</v>
      </c>
      <c r="P83" s="55">
        <f>+CD17</f>
        <v>0</v>
      </c>
      <c r="Q83" s="166">
        <f>+CD18</f>
        <v>0</v>
      </c>
      <c r="R83" s="55">
        <f>+CD19</f>
        <v>0</v>
      </c>
      <c r="S83" s="161">
        <f>+CD20</f>
        <v>0</v>
      </c>
      <c r="T83" s="16">
        <f>+CD21</f>
        <v>0</v>
      </c>
      <c r="U83" s="22"/>
      <c r="V83" s="22"/>
      <c r="W83" s="182">
        <f>+CD24</f>
        <v>0</v>
      </c>
      <c r="X83" s="55">
        <f>+CD25</f>
        <v>0</v>
      </c>
      <c r="Y83" s="166">
        <f>+CD26</f>
        <v>0</v>
      </c>
      <c r="Z83" s="55">
        <f>+CD27</f>
        <v>0</v>
      </c>
      <c r="AA83" s="161">
        <f>+CD28</f>
        <v>0</v>
      </c>
      <c r="AB83" s="55">
        <f>+CD29</f>
        <v>0</v>
      </c>
      <c r="AC83" s="198">
        <f>+CD30</f>
        <v>0</v>
      </c>
      <c r="AD83" s="22"/>
      <c r="AE83" s="22"/>
      <c r="AF83" s="182">
        <f>+CD33</f>
        <v>0</v>
      </c>
      <c r="AG83" s="16">
        <f>+CD34</f>
        <v>0</v>
      </c>
      <c r="AH83" s="22"/>
      <c r="AI83" s="22"/>
      <c r="AJ83" s="182">
        <f>+CD37</f>
        <v>0</v>
      </c>
      <c r="AK83" s="55">
        <f>+CD38</f>
        <v>0</v>
      </c>
      <c r="AL83" s="166">
        <f>+CD39</f>
        <v>0</v>
      </c>
      <c r="AM83" s="55">
        <f>+CD40</f>
        <v>0</v>
      </c>
      <c r="AN83" s="161">
        <f>+CD41</f>
        <v>0</v>
      </c>
      <c r="AO83" s="55">
        <f>+CD42</f>
        <v>0</v>
      </c>
      <c r="AP83" s="207">
        <f>+CD43</f>
        <v>0</v>
      </c>
      <c r="AQ83" s="150">
        <f>+CD44</f>
        <v>0</v>
      </c>
      <c r="AR83" s="209">
        <f>+CD45</f>
        <v>0</v>
      </c>
      <c r="AS83" s="150">
        <f>+CD46</f>
        <v>0</v>
      </c>
      <c r="AT83" s="211">
        <f>+CD47</f>
        <v>0</v>
      </c>
      <c r="AU83" s="150">
        <f>+CD48</f>
        <v>0</v>
      </c>
      <c r="AV83" s="201">
        <f>+CD49</f>
        <v>0</v>
      </c>
      <c r="AW83" s="22"/>
      <c r="AX83" s="22"/>
      <c r="AY83" s="270">
        <f>+CD52</f>
        <v>0</v>
      </c>
      <c r="AZ83" s="22"/>
      <c r="BA83" s="182">
        <f>+CD54</f>
        <v>0</v>
      </c>
      <c r="BB83" s="55">
        <f>+CD55</f>
        <v>0</v>
      </c>
      <c r="BC83" s="166">
        <f>+CD56</f>
        <v>0</v>
      </c>
      <c r="BD83" s="55">
        <f>+CD57</f>
        <v>0</v>
      </c>
      <c r="BE83" s="161">
        <f>+CD58</f>
        <v>0</v>
      </c>
      <c r="BF83" s="55">
        <f>+CD59</f>
        <v>0</v>
      </c>
      <c r="BG83" s="207">
        <f>+CD60</f>
        <v>0</v>
      </c>
      <c r="BH83" s="151">
        <f>+CD61</f>
        <v>0</v>
      </c>
      <c r="BI83" s="22"/>
      <c r="BJ83" s="22"/>
      <c r="BK83" s="182">
        <f>+CD64</f>
        <v>0</v>
      </c>
      <c r="BL83" s="55">
        <f>+CD65</f>
        <v>0</v>
      </c>
      <c r="BM83" s="166">
        <f>+CD66</f>
        <v>0</v>
      </c>
      <c r="BN83" s="55">
        <f>+CD67</f>
        <v>0</v>
      </c>
      <c r="BO83" s="161">
        <f>+CD68</f>
        <v>0</v>
      </c>
      <c r="BP83" s="55">
        <f>+CD69</f>
        <v>0</v>
      </c>
      <c r="BQ83" s="288">
        <f>+CD70</f>
        <v>0</v>
      </c>
      <c r="BR83" s="151">
        <f>+CD71</f>
        <v>0</v>
      </c>
      <c r="BS83" s="22"/>
      <c r="BT83" s="22"/>
      <c r="BU83" s="182">
        <f>+CD74</f>
        <v>0</v>
      </c>
      <c r="BV83" s="16">
        <f>+CD75</f>
        <v>0</v>
      </c>
      <c r="BW83" s="22"/>
      <c r="BX83" s="22"/>
      <c r="BY83" s="156"/>
      <c r="BZ83" s="156"/>
      <c r="CA83" s="156"/>
      <c r="CB83" s="156"/>
      <c r="CC83" s="156"/>
      <c r="CD83" s="156"/>
      <c r="CE83" s="156"/>
      <c r="CF83" s="156"/>
      <c r="CG83" s="156"/>
      <c r="CH83" s="22"/>
      <c r="CI83" s="22"/>
      <c r="CJ83" s="182">
        <f>+CD89</f>
        <v>0</v>
      </c>
      <c r="CK83" s="55">
        <f>+CD90</f>
        <v>0</v>
      </c>
      <c r="CL83" s="166">
        <f>+CD91</f>
        <v>0</v>
      </c>
      <c r="CM83" s="55">
        <f>+CD92</f>
        <v>0</v>
      </c>
      <c r="CN83" s="161">
        <f>+CD93</f>
        <v>0</v>
      </c>
      <c r="CO83" s="55">
        <f>+CD94</f>
        <v>0</v>
      </c>
      <c r="CP83" s="288">
        <f>+CD95</f>
        <v>0</v>
      </c>
      <c r="CQ83" s="150">
        <f>+CD96</f>
        <v>0</v>
      </c>
      <c r="CR83" s="209">
        <f>+CD97</f>
        <v>0</v>
      </c>
      <c r="CS83" s="55">
        <f>+CD98</f>
        <v>0</v>
      </c>
      <c r="CT83" s="211">
        <f>+CD99</f>
        <v>0</v>
      </c>
      <c r="CU83" s="55">
        <f>+CD100</f>
        <v>0</v>
      </c>
      <c r="CV83" s="215">
        <f>+CD101</f>
        <v>0</v>
      </c>
      <c r="CW83" s="55">
        <f>+CD102</f>
        <v>0</v>
      </c>
      <c r="CX83" s="245">
        <f>+CD103</f>
        <v>0</v>
      </c>
      <c r="CY83" s="150">
        <f>+CD104</f>
        <v>0</v>
      </c>
      <c r="CZ83" s="231">
        <f>+CD105</f>
        <v>0</v>
      </c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10"/>
      <c r="DL83" s="5"/>
      <c r="DM83" s="5"/>
      <c r="DN83" s="5"/>
      <c r="DO83" s="5"/>
      <c r="DP83" s="5"/>
      <c r="DQ83" s="5"/>
      <c r="DR83" s="5"/>
      <c r="DS83" s="5"/>
      <c r="EJ83" s="10"/>
    </row>
    <row r="84" spans="2:140" s="11" customFormat="1" ht="12.45" customHeight="1" x14ac:dyDescent="0.2">
      <c r="B84" s="112"/>
      <c r="C84" s="291"/>
      <c r="D84" s="341" t="s">
        <v>97</v>
      </c>
      <c r="E84" s="337"/>
      <c r="F84" s="337"/>
      <c r="G84" s="337"/>
      <c r="H84" s="337"/>
      <c r="I84" s="337"/>
      <c r="J84" s="337"/>
      <c r="K84" s="337"/>
      <c r="L84" s="337"/>
      <c r="M84" s="198">
        <f>COUNTIF(SEGUIMIENTO!AD$23:AD$122,"7")</f>
        <v>0</v>
      </c>
      <c r="N84" s="22"/>
      <c r="O84" s="182">
        <f>+CE16</f>
        <v>0</v>
      </c>
      <c r="P84" s="55">
        <f>+CE17</f>
        <v>0</v>
      </c>
      <c r="Q84" s="166">
        <f>+CE18</f>
        <v>0</v>
      </c>
      <c r="R84" s="55">
        <f>+CE19</f>
        <v>0</v>
      </c>
      <c r="S84" s="161">
        <f>+CE20</f>
        <v>0</v>
      </c>
      <c r="T84" s="16">
        <f>+CE21</f>
        <v>0</v>
      </c>
      <c r="U84" s="22"/>
      <c r="V84" s="22"/>
      <c r="W84" s="182">
        <f>+CE24</f>
        <v>0</v>
      </c>
      <c r="X84" s="55">
        <f>+CE25</f>
        <v>0</v>
      </c>
      <c r="Y84" s="166">
        <f>+CE26</f>
        <v>0</v>
      </c>
      <c r="Z84" s="55">
        <f>+CE27</f>
        <v>0</v>
      </c>
      <c r="AA84" s="161">
        <f>+CE28</f>
        <v>0</v>
      </c>
      <c r="AB84" s="55">
        <f>+CE29</f>
        <v>0</v>
      </c>
      <c r="AC84" s="198">
        <f>+CE30</f>
        <v>0</v>
      </c>
      <c r="AD84" s="22"/>
      <c r="AE84" s="22"/>
      <c r="AF84" s="182">
        <f>+CE33</f>
        <v>0</v>
      </c>
      <c r="AG84" s="16">
        <f>+CE34</f>
        <v>0</v>
      </c>
      <c r="AH84" s="22"/>
      <c r="AI84" s="22"/>
      <c r="AJ84" s="182">
        <f>+CE37</f>
        <v>0</v>
      </c>
      <c r="AK84" s="55">
        <f>+CE38</f>
        <v>0</v>
      </c>
      <c r="AL84" s="166">
        <f>+CE39</f>
        <v>0</v>
      </c>
      <c r="AM84" s="55">
        <f>+CE40</f>
        <v>0</v>
      </c>
      <c r="AN84" s="161">
        <f>+CE41</f>
        <v>0</v>
      </c>
      <c r="AO84" s="55">
        <f>+CE42</f>
        <v>0</v>
      </c>
      <c r="AP84" s="207">
        <f>+CE43</f>
        <v>0</v>
      </c>
      <c r="AQ84" s="150">
        <f>+CE44</f>
        <v>0</v>
      </c>
      <c r="AR84" s="209">
        <f>+CE45</f>
        <v>0</v>
      </c>
      <c r="AS84" s="150">
        <f>+CE46</f>
        <v>0</v>
      </c>
      <c r="AT84" s="211">
        <f>+CE47</f>
        <v>0</v>
      </c>
      <c r="AU84" s="150">
        <f>+CE48</f>
        <v>0</v>
      </c>
      <c r="AV84" s="201">
        <f>+CE49</f>
        <v>0</v>
      </c>
      <c r="AW84" s="22"/>
      <c r="AX84" s="22"/>
      <c r="AY84" s="270">
        <f>+CE52</f>
        <v>0</v>
      </c>
      <c r="AZ84" s="22"/>
      <c r="BA84" s="182">
        <f>+CE54</f>
        <v>0</v>
      </c>
      <c r="BB84" s="55">
        <f>+CE55</f>
        <v>0</v>
      </c>
      <c r="BC84" s="166">
        <f>+CE56</f>
        <v>0</v>
      </c>
      <c r="BD84" s="55">
        <f>+CE57</f>
        <v>0</v>
      </c>
      <c r="BE84" s="161">
        <f>+CE58</f>
        <v>0</v>
      </c>
      <c r="BF84" s="55">
        <f>+CE59</f>
        <v>0</v>
      </c>
      <c r="BG84" s="207">
        <f>+CE60</f>
        <v>0</v>
      </c>
      <c r="BH84" s="151">
        <f>+CE61</f>
        <v>0</v>
      </c>
      <c r="BI84" s="22"/>
      <c r="BJ84" s="22"/>
      <c r="BK84" s="182">
        <f>+CE64</f>
        <v>0</v>
      </c>
      <c r="BL84" s="55">
        <f>+CE65</f>
        <v>0</v>
      </c>
      <c r="BM84" s="166">
        <f>+CE66</f>
        <v>0</v>
      </c>
      <c r="BN84" s="55">
        <f>+CE67</f>
        <v>0</v>
      </c>
      <c r="BO84" s="161">
        <f>+CE68</f>
        <v>0</v>
      </c>
      <c r="BP84" s="55">
        <f>+CE69</f>
        <v>0</v>
      </c>
      <c r="BQ84" s="288">
        <f>+CE70</f>
        <v>0</v>
      </c>
      <c r="BR84" s="151">
        <f>+CE71</f>
        <v>0</v>
      </c>
      <c r="BS84" s="22"/>
      <c r="BT84" s="22"/>
      <c r="BU84" s="182">
        <f>+CE74</f>
        <v>0</v>
      </c>
      <c r="BV84" s="16">
        <f>+CE75</f>
        <v>0</v>
      </c>
      <c r="BW84" s="22"/>
      <c r="BX84" s="22"/>
      <c r="BY84" s="156"/>
      <c r="BZ84" s="156"/>
      <c r="CA84" s="156"/>
      <c r="CB84" s="156"/>
      <c r="CC84" s="156"/>
      <c r="CD84" s="156"/>
      <c r="CE84" s="156"/>
      <c r="CF84" s="156"/>
      <c r="CG84" s="156"/>
      <c r="CH84" s="22"/>
      <c r="CI84" s="22"/>
      <c r="CJ84" s="182">
        <f>+CE89</f>
        <v>0</v>
      </c>
      <c r="CK84" s="55">
        <f>+CE90</f>
        <v>0</v>
      </c>
      <c r="CL84" s="166">
        <f>+CE91</f>
        <v>0</v>
      </c>
      <c r="CM84" s="55">
        <f>+CE92</f>
        <v>0</v>
      </c>
      <c r="CN84" s="161">
        <f>+CE93</f>
        <v>0</v>
      </c>
      <c r="CO84" s="55">
        <f>+CE94</f>
        <v>0</v>
      </c>
      <c r="CP84" s="288">
        <f>+CE95</f>
        <v>0</v>
      </c>
      <c r="CQ84" s="150">
        <f>+CE96</f>
        <v>0</v>
      </c>
      <c r="CR84" s="209">
        <f>+CE97</f>
        <v>0</v>
      </c>
      <c r="CS84" s="55">
        <f>+CE98</f>
        <v>0</v>
      </c>
      <c r="CT84" s="211">
        <f>+CE99</f>
        <v>0</v>
      </c>
      <c r="CU84" s="55">
        <f>+CE100</f>
        <v>0</v>
      </c>
      <c r="CV84" s="215">
        <f>+CE101</f>
        <v>0</v>
      </c>
      <c r="CW84" s="55">
        <f>+CE102</f>
        <v>0</v>
      </c>
      <c r="CX84" s="245">
        <f>+CE103</f>
        <v>0</v>
      </c>
      <c r="CY84" s="150">
        <f>+CE104</f>
        <v>0</v>
      </c>
      <c r="CZ84" s="231">
        <f>+CE105</f>
        <v>0</v>
      </c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10"/>
      <c r="DL84" s="5"/>
      <c r="DM84" s="5"/>
      <c r="DN84" s="5"/>
      <c r="DO84" s="5"/>
      <c r="DP84" s="5"/>
      <c r="DQ84" s="5"/>
      <c r="DR84" s="5"/>
      <c r="DS84" s="5"/>
    </row>
    <row r="85" spans="2:140" s="11" customFormat="1" ht="12.45" customHeight="1" x14ac:dyDescent="0.2">
      <c r="B85" s="112"/>
      <c r="C85" s="291"/>
      <c r="D85" s="318" t="s">
        <v>96</v>
      </c>
      <c r="E85" s="319"/>
      <c r="F85" s="319"/>
      <c r="G85" s="319"/>
      <c r="H85" s="319"/>
      <c r="I85" s="319"/>
      <c r="J85" s="319"/>
      <c r="K85" s="319"/>
      <c r="L85" s="319"/>
      <c r="M85" s="16">
        <f>COUNTIF(SEGUIMIENTO!AD$23:AD$122,"8")</f>
        <v>0</v>
      </c>
      <c r="N85" s="22"/>
      <c r="O85" s="182">
        <f>+CF16</f>
        <v>0</v>
      </c>
      <c r="P85" s="55">
        <f>+CF17</f>
        <v>0</v>
      </c>
      <c r="Q85" s="166">
        <f>+CF18</f>
        <v>0</v>
      </c>
      <c r="R85" s="55">
        <f>+CF19</f>
        <v>0</v>
      </c>
      <c r="S85" s="161">
        <f>+CF20</f>
        <v>0</v>
      </c>
      <c r="T85" s="16">
        <f>+CF21</f>
        <v>0</v>
      </c>
      <c r="U85" s="22"/>
      <c r="V85" s="22"/>
      <c r="W85" s="182">
        <f>+CF24</f>
        <v>0</v>
      </c>
      <c r="X85" s="55">
        <f>+CF25</f>
        <v>0</v>
      </c>
      <c r="Y85" s="166">
        <f>+CF26</f>
        <v>0</v>
      </c>
      <c r="Z85" s="55">
        <f>+CF27</f>
        <v>0</v>
      </c>
      <c r="AA85" s="161">
        <f>+CF28</f>
        <v>0</v>
      </c>
      <c r="AB85" s="55">
        <f>+CF29</f>
        <v>0</v>
      </c>
      <c r="AC85" s="198">
        <f>+CF30</f>
        <v>0</v>
      </c>
      <c r="AD85" s="22"/>
      <c r="AE85" s="22"/>
      <c r="AF85" s="182">
        <f>+CF33</f>
        <v>0</v>
      </c>
      <c r="AG85" s="16">
        <f>+CF34</f>
        <v>0</v>
      </c>
      <c r="AH85" s="22"/>
      <c r="AI85" s="22"/>
      <c r="AJ85" s="182">
        <f>+CF37</f>
        <v>0</v>
      </c>
      <c r="AK85" s="55">
        <f>+CF38</f>
        <v>0</v>
      </c>
      <c r="AL85" s="166">
        <f>+CF39</f>
        <v>0</v>
      </c>
      <c r="AM85" s="55">
        <f>+CF40</f>
        <v>0</v>
      </c>
      <c r="AN85" s="161">
        <f>+CF41</f>
        <v>0</v>
      </c>
      <c r="AO85" s="55">
        <f>+CF42</f>
        <v>0</v>
      </c>
      <c r="AP85" s="207">
        <f>+CF43</f>
        <v>0</v>
      </c>
      <c r="AQ85" s="150">
        <f>+CF44</f>
        <v>0</v>
      </c>
      <c r="AR85" s="209">
        <f>+CF45</f>
        <v>0</v>
      </c>
      <c r="AS85" s="150">
        <f>+CF48</f>
        <v>0</v>
      </c>
      <c r="AT85" s="211">
        <f>+CF47</f>
        <v>0</v>
      </c>
      <c r="AU85" s="150">
        <f>+CF48</f>
        <v>0</v>
      </c>
      <c r="AV85" s="201">
        <f>+CF49</f>
        <v>0</v>
      </c>
      <c r="AW85" s="22"/>
      <c r="AX85" s="22"/>
      <c r="AY85" s="270">
        <f>+CF52</f>
        <v>0</v>
      </c>
      <c r="AZ85" s="22"/>
      <c r="BA85" s="182">
        <f>+CF54</f>
        <v>0</v>
      </c>
      <c r="BB85" s="55">
        <f>+CF55</f>
        <v>0</v>
      </c>
      <c r="BC85" s="166">
        <f>+CF56</f>
        <v>0</v>
      </c>
      <c r="BD85" s="55">
        <f>+CF57</f>
        <v>0</v>
      </c>
      <c r="BE85" s="161">
        <f>+CF58</f>
        <v>0</v>
      </c>
      <c r="BF85" s="55">
        <f>+CF59</f>
        <v>0</v>
      </c>
      <c r="BG85" s="207">
        <f>+CF60</f>
        <v>0</v>
      </c>
      <c r="BH85" s="151">
        <f>+CF61</f>
        <v>0</v>
      </c>
      <c r="BI85" s="22"/>
      <c r="BJ85" s="22"/>
      <c r="BK85" s="182">
        <f>+CF64</f>
        <v>0</v>
      </c>
      <c r="BL85" s="55">
        <f>+CF65</f>
        <v>0</v>
      </c>
      <c r="BM85" s="166">
        <f>+CF66</f>
        <v>0</v>
      </c>
      <c r="BN85" s="55">
        <f>+CF67</f>
        <v>0</v>
      </c>
      <c r="BO85" s="161">
        <f>+CF68</f>
        <v>0</v>
      </c>
      <c r="BP85" s="55">
        <f>+CF69</f>
        <v>0</v>
      </c>
      <c r="BQ85" s="288">
        <f>+CF70</f>
        <v>0</v>
      </c>
      <c r="BR85" s="151">
        <f>+CF71</f>
        <v>0</v>
      </c>
      <c r="BS85" s="22"/>
      <c r="BT85" s="22"/>
      <c r="BU85" s="182">
        <f>+CF74</f>
        <v>0</v>
      </c>
      <c r="BV85" s="16">
        <f>+CF75</f>
        <v>0</v>
      </c>
      <c r="BW85" s="22"/>
      <c r="BX85" s="22"/>
      <c r="BY85" s="156"/>
      <c r="BZ85" s="156"/>
      <c r="CA85" s="156"/>
      <c r="CB85" s="156"/>
      <c r="CC85" s="156"/>
      <c r="CD85" s="156"/>
      <c r="CE85" s="156"/>
      <c r="CF85" s="156"/>
      <c r="CG85" s="156"/>
      <c r="CH85" s="22"/>
      <c r="CI85" s="22"/>
      <c r="CJ85" s="182">
        <f>+CF89</f>
        <v>0</v>
      </c>
      <c r="CK85" s="55">
        <f>+CF90</f>
        <v>0</v>
      </c>
      <c r="CL85" s="166">
        <f>+CF91</f>
        <v>0</v>
      </c>
      <c r="CM85" s="55">
        <f>+CF92</f>
        <v>0</v>
      </c>
      <c r="CN85" s="161">
        <f>+CF93</f>
        <v>0</v>
      </c>
      <c r="CO85" s="55">
        <f>+CF94</f>
        <v>0</v>
      </c>
      <c r="CP85" s="288">
        <f>+CF95</f>
        <v>0</v>
      </c>
      <c r="CQ85" s="150">
        <f>+CF96</f>
        <v>0</v>
      </c>
      <c r="CR85" s="209">
        <f>+CF97</f>
        <v>0</v>
      </c>
      <c r="CS85" s="55">
        <f>+CF98</f>
        <v>0</v>
      </c>
      <c r="CT85" s="211">
        <f>+CF99</f>
        <v>0</v>
      </c>
      <c r="CU85" s="55">
        <f>+CF100</f>
        <v>0</v>
      </c>
      <c r="CV85" s="215">
        <f>+CF101</f>
        <v>0</v>
      </c>
      <c r="CW85" s="55">
        <f>+CF102</f>
        <v>0</v>
      </c>
      <c r="CX85" s="245">
        <f>+CF103</f>
        <v>0</v>
      </c>
      <c r="CY85" s="150">
        <f>+CF104</f>
        <v>0</v>
      </c>
      <c r="CZ85" s="231">
        <f>+CF105</f>
        <v>0</v>
      </c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10"/>
      <c r="DL85" s="5"/>
      <c r="DM85" s="5"/>
      <c r="DN85" s="5"/>
      <c r="DO85" s="5"/>
      <c r="DP85" s="5"/>
      <c r="DQ85" s="5"/>
      <c r="DR85" s="5"/>
      <c r="DS85" s="5"/>
    </row>
    <row r="86" spans="2:140" s="11" customFormat="1" ht="12.45" customHeight="1" thickBot="1" x14ac:dyDescent="0.25">
      <c r="B86" s="112"/>
      <c r="C86" s="291"/>
      <c r="D86" s="342" t="s">
        <v>98</v>
      </c>
      <c r="E86" s="343"/>
      <c r="F86" s="343"/>
      <c r="G86" s="343"/>
      <c r="H86" s="343"/>
      <c r="I86" s="343"/>
      <c r="J86" s="343"/>
      <c r="K86" s="343"/>
      <c r="L86" s="343"/>
      <c r="M86" s="344">
        <f>COUNTIF(SEGUIMIENTO!AD$23:AD$122,"9")</f>
        <v>0</v>
      </c>
      <c r="N86" s="22"/>
      <c r="O86" s="183">
        <f>+CG16</f>
        <v>0</v>
      </c>
      <c r="P86" s="19">
        <f>+CG17</f>
        <v>0</v>
      </c>
      <c r="Q86" s="185">
        <f>+CG18</f>
        <v>0</v>
      </c>
      <c r="R86" s="19">
        <f>+CG19</f>
        <v>0</v>
      </c>
      <c r="S86" s="187">
        <f>+CG20</f>
        <v>0</v>
      </c>
      <c r="T86" s="20">
        <f>+CG21</f>
        <v>0</v>
      </c>
      <c r="U86" s="22"/>
      <c r="V86" s="22"/>
      <c r="W86" s="183">
        <f>+CG24</f>
        <v>0</v>
      </c>
      <c r="X86" s="19">
        <f>+CG25</f>
        <v>0</v>
      </c>
      <c r="Y86" s="185">
        <f>+CG26</f>
        <v>0</v>
      </c>
      <c r="Z86" s="19">
        <f>+CG27</f>
        <v>0</v>
      </c>
      <c r="AA86" s="187">
        <f>+CG28</f>
        <v>0</v>
      </c>
      <c r="AB86" s="19">
        <f>+CG29</f>
        <v>0</v>
      </c>
      <c r="AC86" s="188">
        <f>+CG30</f>
        <v>0</v>
      </c>
      <c r="AD86" s="22"/>
      <c r="AE86" s="22"/>
      <c r="AF86" s="183">
        <f>+CG33</f>
        <v>0</v>
      </c>
      <c r="AG86" s="20">
        <f>+CG34</f>
        <v>0</v>
      </c>
      <c r="AH86" s="22"/>
      <c r="AI86" s="22"/>
      <c r="AJ86" s="183">
        <f>+CG37</f>
        <v>0</v>
      </c>
      <c r="AK86" s="19">
        <f>+CG38</f>
        <v>0</v>
      </c>
      <c r="AL86" s="185">
        <f>+CG39</f>
        <v>0</v>
      </c>
      <c r="AM86" s="19">
        <f>+CG40</f>
        <v>0</v>
      </c>
      <c r="AN86" s="187">
        <f>+CG41</f>
        <v>0</v>
      </c>
      <c r="AO86" s="19">
        <f>+CG42</f>
        <v>0</v>
      </c>
      <c r="AP86" s="190">
        <f>+CG43</f>
        <v>0</v>
      </c>
      <c r="AQ86" s="153">
        <f>+CG44</f>
        <v>0</v>
      </c>
      <c r="AR86" s="268">
        <f>+CG45</f>
        <v>0</v>
      </c>
      <c r="AS86" s="153">
        <f>+CG48</f>
        <v>0</v>
      </c>
      <c r="AT86" s="269">
        <f>+CG47</f>
        <v>0</v>
      </c>
      <c r="AU86" s="153">
        <f>+CG48</f>
        <v>0</v>
      </c>
      <c r="AV86" s="214">
        <f>+CG49</f>
        <v>0</v>
      </c>
      <c r="AW86" s="22"/>
      <c r="AX86" s="22"/>
      <c r="AY86" s="271">
        <f>+CG52</f>
        <v>0</v>
      </c>
      <c r="AZ86" s="22"/>
      <c r="BA86" s="183">
        <f>+CG54</f>
        <v>0</v>
      </c>
      <c r="BB86" s="19">
        <f>+CG55</f>
        <v>0</v>
      </c>
      <c r="BC86" s="185">
        <f>+CG56</f>
        <v>0</v>
      </c>
      <c r="BD86" s="19">
        <f>+CG57</f>
        <v>0</v>
      </c>
      <c r="BE86" s="187">
        <f>+CG58</f>
        <v>0</v>
      </c>
      <c r="BF86" s="19">
        <f>+CG59</f>
        <v>0</v>
      </c>
      <c r="BG86" s="190">
        <f>+CG60</f>
        <v>0</v>
      </c>
      <c r="BH86" s="154">
        <f>+CG61</f>
        <v>0</v>
      </c>
      <c r="BI86" s="22"/>
      <c r="BJ86" s="22"/>
      <c r="BK86" s="183">
        <f>+CG64</f>
        <v>0</v>
      </c>
      <c r="BL86" s="19">
        <f>+CG65</f>
        <v>0</v>
      </c>
      <c r="BM86" s="185">
        <f>+CG66</f>
        <v>0</v>
      </c>
      <c r="BN86" s="19">
        <f>+CG67</f>
        <v>0</v>
      </c>
      <c r="BO86" s="187">
        <f>+CG68</f>
        <v>0</v>
      </c>
      <c r="BP86" s="19">
        <f>+CG69</f>
        <v>0</v>
      </c>
      <c r="BQ86" s="289">
        <f>+CG70</f>
        <v>0</v>
      </c>
      <c r="BR86" s="154">
        <f>+CG71</f>
        <v>0</v>
      </c>
      <c r="BS86" s="22"/>
      <c r="BT86" s="22"/>
      <c r="BU86" s="183">
        <f>+CG74</f>
        <v>0</v>
      </c>
      <c r="BV86" s="20">
        <f>+CG75</f>
        <v>0</v>
      </c>
      <c r="BW86" s="22"/>
      <c r="BX86" s="22"/>
      <c r="BY86" s="156"/>
      <c r="BZ86" s="156"/>
      <c r="CA86" s="156"/>
      <c r="CB86" s="156"/>
      <c r="CC86" s="156"/>
      <c r="CD86" s="156"/>
      <c r="CE86" s="156"/>
      <c r="CF86" s="156"/>
      <c r="CG86" s="156"/>
      <c r="CH86" s="22"/>
      <c r="CI86" s="22"/>
      <c r="CJ86" s="183">
        <f>+CG89</f>
        <v>0</v>
      </c>
      <c r="CK86" s="19">
        <f>+CG90</f>
        <v>0</v>
      </c>
      <c r="CL86" s="185">
        <f>+CG91</f>
        <v>0</v>
      </c>
      <c r="CM86" s="19">
        <f>+CG92</f>
        <v>0</v>
      </c>
      <c r="CN86" s="187">
        <f>+CG93</f>
        <v>0</v>
      </c>
      <c r="CO86" s="19">
        <f>+CG94</f>
        <v>0</v>
      </c>
      <c r="CP86" s="289">
        <f>+CG95</f>
        <v>0</v>
      </c>
      <c r="CQ86" s="153">
        <f>+CG96</f>
        <v>0</v>
      </c>
      <c r="CR86" s="268">
        <f>+CG97</f>
        <v>0</v>
      </c>
      <c r="CS86" s="19">
        <f>+CG98</f>
        <v>0</v>
      </c>
      <c r="CT86" s="269">
        <f>+CG99</f>
        <v>0</v>
      </c>
      <c r="CU86" s="19">
        <f>+CG100</f>
        <v>0</v>
      </c>
      <c r="CV86" s="213">
        <f>+CG101</f>
        <v>0</v>
      </c>
      <c r="CW86" s="19">
        <f>+CG102</f>
        <v>0</v>
      </c>
      <c r="CX86" s="274">
        <f>+CG103</f>
        <v>0</v>
      </c>
      <c r="CY86" s="153">
        <f>+CG104</f>
        <v>0</v>
      </c>
      <c r="CZ86" s="255">
        <f>+CG105</f>
        <v>0</v>
      </c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10"/>
      <c r="DL86" s="5"/>
      <c r="DM86" s="5"/>
      <c r="DN86" s="5"/>
      <c r="DO86" s="5"/>
      <c r="DP86" s="5"/>
      <c r="DQ86" s="5"/>
      <c r="DR86" s="5"/>
      <c r="DS86" s="5"/>
    </row>
    <row r="87" spans="2:140" s="11" customFormat="1" ht="12.45" customHeight="1" thickBot="1" x14ac:dyDescent="0.25">
      <c r="B87" s="113"/>
      <c r="C87" s="292"/>
      <c r="D87" s="300" t="s">
        <v>90</v>
      </c>
      <c r="E87" s="301"/>
      <c r="F87" s="301"/>
      <c r="G87" s="301"/>
      <c r="H87" s="301"/>
      <c r="I87" s="301"/>
      <c r="J87" s="301"/>
      <c r="K87" s="301"/>
      <c r="L87" s="302"/>
      <c r="M87" s="144">
        <f>SUM(M78:M86)</f>
        <v>0</v>
      </c>
      <c r="N87" s="10"/>
      <c r="O87" s="10">
        <f>SUM(O78:O86)</f>
        <v>0</v>
      </c>
      <c r="P87" s="10">
        <f t="shared" ref="P87:T87" si="141">SUM(P78:P86)</f>
        <v>0</v>
      </c>
      <c r="Q87" s="10">
        <f t="shared" si="141"/>
        <v>0</v>
      </c>
      <c r="R87" s="10">
        <f t="shared" si="141"/>
        <v>0</v>
      </c>
      <c r="S87" s="10">
        <f t="shared" si="141"/>
        <v>0</v>
      </c>
      <c r="T87" s="10">
        <f t="shared" si="141"/>
        <v>0</v>
      </c>
      <c r="U87" s="142">
        <f>SUM(O87:T87)</f>
        <v>0</v>
      </c>
      <c r="V87" s="10"/>
      <c r="W87" s="10">
        <f t="shared" ref="W87:AC87" si="142">SUM(W78:W86)</f>
        <v>0</v>
      </c>
      <c r="X87" s="10">
        <f t="shared" si="142"/>
        <v>0</v>
      </c>
      <c r="Y87" s="10">
        <f t="shared" si="142"/>
        <v>0</v>
      </c>
      <c r="Z87" s="10">
        <f t="shared" si="142"/>
        <v>0</v>
      </c>
      <c r="AA87" s="10">
        <f t="shared" si="142"/>
        <v>0</v>
      </c>
      <c r="AB87" s="10">
        <f t="shared" si="142"/>
        <v>0</v>
      </c>
      <c r="AC87" s="10">
        <f t="shared" si="142"/>
        <v>0</v>
      </c>
      <c r="AD87" s="142">
        <f>SUM(W87:AC87)</f>
        <v>0</v>
      </c>
      <c r="AE87" s="5"/>
      <c r="AF87" s="10">
        <f t="shared" ref="AF87:AG87" si="143">SUM(AF78:AF86)</f>
        <v>0</v>
      </c>
      <c r="AG87" s="10">
        <f t="shared" si="143"/>
        <v>0</v>
      </c>
      <c r="AH87" s="142">
        <f>SUM(AF87:AG87)</f>
        <v>0</v>
      </c>
      <c r="AI87" s="5"/>
      <c r="AJ87" s="10">
        <f t="shared" ref="AJ87:AV87" si="144">SUM(AJ78:AJ86)</f>
        <v>0</v>
      </c>
      <c r="AK87" s="10">
        <f t="shared" si="144"/>
        <v>0</v>
      </c>
      <c r="AL87" s="10">
        <f t="shared" si="144"/>
        <v>0</v>
      </c>
      <c r="AM87" s="10">
        <f t="shared" si="144"/>
        <v>0</v>
      </c>
      <c r="AN87" s="10">
        <f t="shared" si="144"/>
        <v>0</v>
      </c>
      <c r="AO87" s="10">
        <f t="shared" si="144"/>
        <v>0</v>
      </c>
      <c r="AP87" s="10">
        <f t="shared" si="144"/>
        <v>0</v>
      </c>
      <c r="AQ87" s="10">
        <f t="shared" si="144"/>
        <v>0</v>
      </c>
      <c r="AR87" s="10">
        <f t="shared" si="144"/>
        <v>0</v>
      </c>
      <c r="AS87" s="10">
        <f t="shared" si="144"/>
        <v>0</v>
      </c>
      <c r="AT87" s="10">
        <f t="shared" si="144"/>
        <v>0</v>
      </c>
      <c r="AU87" s="10">
        <f t="shared" si="144"/>
        <v>0</v>
      </c>
      <c r="AV87" s="10">
        <f t="shared" si="144"/>
        <v>0</v>
      </c>
      <c r="AW87" s="142">
        <f>SUM(AJ87:AV87)</f>
        <v>0</v>
      </c>
      <c r="AX87" s="5"/>
      <c r="AY87" s="142">
        <f>SUM(AY78:AY86)</f>
        <v>0</v>
      </c>
      <c r="AZ87" s="5"/>
      <c r="BA87" s="10">
        <f t="shared" ref="BA87:BH87" si="145">SUM(BA78:BA86)</f>
        <v>0</v>
      </c>
      <c r="BB87" s="10">
        <f t="shared" si="145"/>
        <v>0</v>
      </c>
      <c r="BC87" s="10">
        <f t="shared" si="145"/>
        <v>0</v>
      </c>
      <c r="BD87" s="10">
        <f t="shared" si="145"/>
        <v>0</v>
      </c>
      <c r="BE87" s="10">
        <f t="shared" si="145"/>
        <v>0</v>
      </c>
      <c r="BF87" s="10">
        <f t="shared" si="145"/>
        <v>0</v>
      </c>
      <c r="BG87" s="10">
        <f t="shared" si="145"/>
        <v>0</v>
      </c>
      <c r="BH87" s="10">
        <f t="shared" si="145"/>
        <v>0</v>
      </c>
      <c r="BI87" s="142">
        <f>SUM(BA87:BH87)</f>
        <v>0</v>
      </c>
      <c r="BJ87" s="5"/>
      <c r="BK87" s="10">
        <f t="shared" ref="BK87:BR87" si="146">SUM(BK78:BK86)</f>
        <v>0</v>
      </c>
      <c r="BL87" s="10">
        <f t="shared" si="146"/>
        <v>0</v>
      </c>
      <c r="BM87" s="10">
        <f t="shared" si="146"/>
        <v>0</v>
      </c>
      <c r="BN87" s="10">
        <f t="shared" si="146"/>
        <v>0</v>
      </c>
      <c r="BO87" s="10">
        <f t="shared" si="146"/>
        <v>0</v>
      </c>
      <c r="BP87" s="10">
        <f t="shared" si="146"/>
        <v>0</v>
      </c>
      <c r="BQ87" s="10">
        <f t="shared" si="146"/>
        <v>0</v>
      </c>
      <c r="BR87" s="10">
        <f t="shared" si="146"/>
        <v>0</v>
      </c>
      <c r="BS87" s="142">
        <f>SUM(BK87:BR87)</f>
        <v>0</v>
      </c>
      <c r="BT87" s="5"/>
      <c r="BU87" s="10">
        <f t="shared" ref="BU87:BV87" si="147">SUM(BU78:BU86)</f>
        <v>0</v>
      </c>
      <c r="BV87" s="10">
        <f t="shared" si="147"/>
        <v>0</v>
      </c>
      <c r="BW87" s="142">
        <f>SUM(BU87:BV87)</f>
        <v>0</v>
      </c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10">
        <f t="shared" ref="CJ87:CZ87" si="148">SUM(CJ78:CJ86)</f>
        <v>0</v>
      </c>
      <c r="CK87" s="10">
        <f t="shared" si="148"/>
        <v>0</v>
      </c>
      <c r="CL87" s="10">
        <f t="shared" si="148"/>
        <v>0</v>
      </c>
      <c r="CM87" s="10">
        <f t="shared" si="148"/>
        <v>0</v>
      </c>
      <c r="CN87" s="10">
        <f t="shared" si="148"/>
        <v>0</v>
      </c>
      <c r="CO87" s="10">
        <f t="shared" si="148"/>
        <v>0</v>
      </c>
      <c r="CP87" s="10">
        <f t="shared" si="148"/>
        <v>0</v>
      </c>
      <c r="CQ87" s="10">
        <f t="shared" si="148"/>
        <v>0</v>
      </c>
      <c r="CR87" s="10">
        <f t="shared" si="148"/>
        <v>0</v>
      </c>
      <c r="CS87" s="10">
        <f t="shared" si="148"/>
        <v>0</v>
      </c>
      <c r="CT87" s="10">
        <f t="shared" si="148"/>
        <v>0</v>
      </c>
      <c r="CU87" s="10">
        <f t="shared" si="148"/>
        <v>0</v>
      </c>
      <c r="CV87" s="10">
        <f t="shared" si="148"/>
        <v>0</v>
      </c>
      <c r="CW87" s="10">
        <f t="shared" si="148"/>
        <v>0</v>
      </c>
      <c r="CX87" s="10">
        <f t="shared" si="148"/>
        <v>0</v>
      </c>
      <c r="CY87" s="10">
        <f t="shared" si="148"/>
        <v>0</v>
      </c>
      <c r="CZ87" s="10">
        <f t="shared" si="148"/>
        <v>0</v>
      </c>
      <c r="DA87" s="142">
        <f>SUM(CJ87:CZ87)</f>
        <v>0</v>
      </c>
      <c r="DB87" s="5"/>
      <c r="DC87" s="5"/>
      <c r="DD87" s="5"/>
      <c r="DE87" s="5"/>
      <c r="DF87" s="5"/>
      <c r="DG87" s="5"/>
      <c r="DH87" s="5"/>
      <c r="DI87" s="5"/>
      <c r="DJ87" s="5"/>
      <c r="DK87" s="10"/>
      <c r="DL87" s="5"/>
      <c r="DM87" s="5"/>
      <c r="DN87" s="5"/>
      <c r="DO87" s="5"/>
      <c r="DP87" s="5"/>
      <c r="DQ87" s="5"/>
      <c r="DR87" s="5"/>
      <c r="DS87" s="5"/>
    </row>
    <row r="88" spans="2:140" s="11" customFormat="1" ht="12.45" customHeight="1" thickBot="1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10"/>
      <c r="DL88" s="5"/>
      <c r="DM88" s="5"/>
      <c r="DN88" s="5"/>
      <c r="DO88" s="5"/>
      <c r="DP88" s="5"/>
      <c r="DQ88" s="5"/>
      <c r="DR88" s="5"/>
      <c r="DS88" s="5"/>
    </row>
    <row r="89" spans="2:140" s="11" customFormat="1" ht="19.95" customHeight="1" x14ac:dyDescent="0.2">
      <c r="B89" s="111" t="s">
        <v>81</v>
      </c>
      <c r="C89" s="114"/>
      <c r="D89" s="327" t="s">
        <v>129</v>
      </c>
      <c r="E89" s="363"/>
      <c r="F89" s="363"/>
      <c r="G89" s="363"/>
      <c r="H89" s="363"/>
      <c r="I89" s="363"/>
      <c r="J89" s="363"/>
      <c r="K89" s="363"/>
      <c r="L89" s="363"/>
      <c r="M89" s="171">
        <f>COUNTIF(SEGUIMIENTO!Z$23:Z$122,"1")</f>
        <v>0</v>
      </c>
      <c r="N89" s="22"/>
      <c r="O89" s="169">
        <f>+CJ16</f>
        <v>0</v>
      </c>
      <c r="P89" s="14">
        <f>+CJ17</f>
        <v>0</v>
      </c>
      <c r="Q89" s="184">
        <f>+CJ18</f>
        <v>0</v>
      </c>
      <c r="R89" s="14">
        <f>+CJ19</f>
        <v>0</v>
      </c>
      <c r="S89" s="186">
        <f>+CJ20</f>
        <v>0</v>
      </c>
      <c r="T89" s="13">
        <f>+CJ21</f>
        <v>0</v>
      </c>
      <c r="U89" s="22"/>
      <c r="V89" s="22"/>
      <c r="W89" s="169">
        <f>+CJ24</f>
        <v>0</v>
      </c>
      <c r="X89" s="14">
        <f>+CJ25</f>
        <v>0</v>
      </c>
      <c r="Y89" s="184">
        <f>+CJ26</f>
        <v>0</v>
      </c>
      <c r="Z89" s="14">
        <f>+CJ27</f>
        <v>0</v>
      </c>
      <c r="AA89" s="186">
        <f>+CJ28</f>
        <v>0</v>
      </c>
      <c r="AB89" s="14">
        <f>+CJ29</f>
        <v>0</v>
      </c>
      <c r="AC89" s="191">
        <f>+CJ30</f>
        <v>0</v>
      </c>
      <c r="AD89" s="22"/>
      <c r="AE89" s="22"/>
      <c r="AF89" s="169">
        <f>+CJ33</f>
        <v>0</v>
      </c>
      <c r="AG89" s="13">
        <f>+CJ34</f>
        <v>0</v>
      </c>
      <c r="AH89" s="22"/>
      <c r="AI89" s="22"/>
      <c r="AJ89" s="169">
        <f>+CJ37</f>
        <v>0</v>
      </c>
      <c r="AK89" s="14">
        <f>+CJ38</f>
        <v>0</v>
      </c>
      <c r="AL89" s="184">
        <f>+CJ39</f>
        <v>0</v>
      </c>
      <c r="AM89" s="14">
        <f>+CJ40</f>
        <v>0</v>
      </c>
      <c r="AN89" s="186">
        <f>+CJ41</f>
        <v>0</v>
      </c>
      <c r="AO89" s="14">
        <f>+CJ42</f>
        <v>0</v>
      </c>
      <c r="AP89" s="267">
        <f>+CJ43</f>
        <v>0</v>
      </c>
      <c r="AQ89" s="158">
        <f>+CJ44</f>
        <v>0</v>
      </c>
      <c r="AR89" s="260">
        <f>+CJ45</f>
        <v>0</v>
      </c>
      <c r="AS89" s="158">
        <f>+CJ46</f>
        <v>0</v>
      </c>
      <c r="AT89" s="261">
        <f>+CJ47</f>
        <v>0</v>
      </c>
      <c r="AU89" s="158">
        <f>+CJ48</f>
        <v>0</v>
      </c>
      <c r="AV89" s="262">
        <f>+CJ49</f>
        <v>0</v>
      </c>
      <c r="AW89" s="22"/>
      <c r="AX89" s="22"/>
      <c r="AY89" s="192">
        <f>+CJ52</f>
        <v>0</v>
      </c>
      <c r="AZ89" s="22"/>
      <c r="BA89" s="169">
        <f>+CJ54</f>
        <v>0</v>
      </c>
      <c r="BB89" s="14">
        <f>+CJ55</f>
        <v>0</v>
      </c>
      <c r="BC89" s="184">
        <f>+CJ56</f>
        <v>0</v>
      </c>
      <c r="BD89" s="14">
        <f>+CJ57</f>
        <v>0</v>
      </c>
      <c r="BE89" s="186">
        <f>+CJ58</f>
        <v>0</v>
      </c>
      <c r="BF89" s="14">
        <f>+CJ59</f>
        <v>0</v>
      </c>
      <c r="BG89" s="267">
        <f>+CJ60</f>
        <v>0</v>
      </c>
      <c r="BH89" s="159">
        <f>+CJ61</f>
        <v>0</v>
      </c>
      <c r="BI89" s="22"/>
      <c r="BJ89" s="22"/>
      <c r="BK89" s="232">
        <f>COUNTIFS(SEGUIMIENTO!$Z$23:$Z$122,"1",SEGUIMIENTO!$AA$23:$AA$122,"JAC")</f>
        <v>0</v>
      </c>
      <c r="BL89" s="170">
        <f>COUNTIFS(SEGUIMIENTO!$Z$23:$Z$122,"1",SEGUIMIENTO!$AA$23:$AA$122,"JAL")</f>
        <v>0</v>
      </c>
      <c r="BM89" s="246">
        <f>COUNTIFS(SEGUIMIENTO!$Z$23:$Z$122,"1",SEGUIMIENTO!$AA$23:$AA$122,"AMB")</f>
        <v>0</v>
      </c>
      <c r="BN89" s="246">
        <f>COUNTIFS(SEGUIMIENTO!$Z$23:$Z$122,"1",SEGUIMIENTO!$AA$23:$AA$122,"DDHH")</f>
        <v>0</v>
      </c>
      <c r="BO89" s="246">
        <f>COUNTIFS(SEGUIMIENTO!$Z$23:$Z$122,"1",SEGUIMIENTO!$AA$23:$AA$122,"SIND")</f>
        <v>0</v>
      </c>
      <c r="BP89" s="246">
        <f>COUNTIFS(SEGUIMIENTO!$Z$23:$Z$122,"1",SEGUIMIENTO!$AA$23:$AA$122,"REL")</f>
        <v>0</v>
      </c>
      <c r="BQ89" s="246">
        <f>COUNTIFS(SEGUIMIENTO!$Z$23:$Z$122,"1",SEGUIMIENTO!$AA$23:$AA$122,"OTR")</f>
        <v>0</v>
      </c>
      <c r="BR89" s="247">
        <f>COUNTIFS(SEGUIMIENTO!$Z$23:$Z$122,"1",SEGUIMIENTO!$AA$23:$AA$122,"N/A")</f>
        <v>0</v>
      </c>
      <c r="BS89" s="22"/>
      <c r="BT89" s="22"/>
      <c r="BU89" s="232">
        <f>COUNTIFS(SEGUIMIENTO!$Z$23:$Z$122,"1",SEGUIMIENTO!$AB$23:$AB$122,"RUR")</f>
        <v>0</v>
      </c>
      <c r="BV89" s="171">
        <f>COUNTIFS(SEGUIMIENTO!$Z$23:$Z$122,"1",SEGUIMIENTO!$AB$23:$AB$122,"URB")</f>
        <v>0</v>
      </c>
      <c r="BW89" s="22"/>
      <c r="BX89" s="22"/>
      <c r="BY89" s="232">
        <f>COUNTIFS(SEGUIMIENTO!$Z$23:$Z$122,"1",SEGUIMIENTO!$AD$23:$AD$122,"1")</f>
        <v>0</v>
      </c>
      <c r="BZ89" s="170">
        <f>COUNTIFS(SEGUIMIENTO!$Z$23:$Z$122,"1",SEGUIMIENTO!$AD$23:$AD$122,"2")</f>
        <v>0</v>
      </c>
      <c r="CA89" s="246">
        <f>COUNTIFS(SEGUIMIENTO!$Z$23:$Z$122,"1",SEGUIMIENTO!$AD$23:$AD$122,"3")</f>
        <v>0</v>
      </c>
      <c r="CB89" s="246">
        <f>COUNTIFS(SEGUIMIENTO!$Z$23:$Z$122,"1",SEGUIMIENTO!$AD$23:$AD$122,"4")</f>
        <v>0</v>
      </c>
      <c r="CC89" s="246">
        <f>COUNTIFS(SEGUIMIENTO!$Z$23:$Z$122,"1",SEGUIMIENTO!$AD$23:$AD$122,"5")</f>
        <v>0</v>
      </c>
      <c r="CD89" s="246">
        <f>COUNTIFS(SEGUIMIENTO!$Z$23:$Z$122,"1",SEGUIMIENTO!$AD$23:$AD$122,"6")</f>
        <v>0</v>
      </c>
      <c r="CE89" s="246">
        <f>COUNTIFS(SEGUIMIENTO!$Z$23:$Z$122,"1",SEGUIMIENTO!$AD$23:$AD$122,"7")</f>
        <v>0</v>
      </c>
      <c r="CF89" s="246">
        <f>COUNTIFS(SEGUIMIENTO!$Z$23:$Z$122,"1",SEGUIMIENTO!$AD$23:$AD$122,"8")</f>
        <v>0</v>
      </c>
      <c r="CG89" s="247">
        <f>COUNTIFS(SEGUIMIENTO!$Z$23:$Z$122,"1",SEGUIMIENTO!$AD$23:$AD$122,"9")</f>
        <v>0</v>
      </c>
      <c r="CH89" s="475"/>
      <c r="CI89" s="9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284"/>
      <c r="DB89" s="5"/>
      <c r="DC89" s="5"/>
      <c r="DD89" s="5"/>
      <c r="DE89" s="5"/>
      <c r="DF89" s="5"/>
      <c r="DG89" s="5"/>
      <c r="DH89" s="5"/>
      <c r="DI89" s="5"/>
      <c r="DJ89" s="5"/>
      <c r="DK89" s="10"/>
      <c r="DL89" s="5"/>
      <c r="DM89" s="5"/>
      <c r="DN89" s="5"/>
      <c r="DO89" s="5"/>
      <c r="DP89" s="5"/>
      <c r="DQ89" s="5"/>
      <c r="DR89" s="5"/>
      <c r="DS89" s="5"/>
    </row>
    <row r="90" spans="2:140" s="11" customFormat="1" ht="12.45" customHeight="1" x14ac:dyDescent="0.2">
      <c r="B90" s="112"/>
      <c r="C90" s="115"/>
      <c r="D90" s="296" t="s">
        <v>130</v>
      </c>
      <c r="E90" s="304"/>
      <c r="F90" s="304"/>
      <c r="G90" s="304"/>
      <c r="H90" s="304"/>
      <c r="I90" s="304"/>
      <c r="J90" s="304"/>
      <c r="K90" s="304"/>
      <c r="L90" s="304"/>
      <c r="M90" s="151">
        <f>COUNTIF(SEGUIMIENTO!Z$23:Z$122,"2")</f>
        <v>0</v>
      </c>
      <c r="N90" s="22"/>
      <c r="O90" s="182">
        <f>+CK16</f>
        <v>0</v>
      </c>
      <c r="P90" s="55">
        <f>+CK17</f>
        <v>0</v>
      </c>
      <c r="Q90" s="166">
        <f>+CK18</f>
        <v>0</v>
      </c>
      <c r="R90" s="55">
        <f>+CK19</f>
        <v>0</v>
      </c>
      <c r="S90" s="161">
        <f>+CK20</f>
        <v>0</v>
      </c>
      <c r="T90" s="16">
        <f>+CK21</f>
        <v>0</v>
      </c>
      <c r="U90" s="22"/>
      <c r="V90" s="22"/>
      <c r="W90" s="182">
        <f>+CK24</f>
        <v>0</v>
      </c>
      <c r="X90" s="55">
        <f>+CK25</f>
        <v>0</v>
      </c>
      <c r="Y90" s="166">
        <f>+CK26</f>
        <v>0</v>
      </c>
      <c r="Z90" s="55">
        <f>+CK27</f>
        <v>0</v>
      </c>
      <c r="AA90" s="161">
        <f>+CK28</f>
        <v>0</v>
      </c>
      <c r="AB90" s="55">
        <f>+CK29</f>
        <v>0</v>
      </c>
      <c r="AC90" s="198">
        <f>+CK30</f>
        <v>0</v>
      </c>
      <c r="AD90" s="22"/>
      <c r="AE90" s="22"/>
      <c r="AF90" s="182">
        <f>+CK33</f>
        <v>0</v>
      </c>
      <c r="AG90" s="16">
        <f>+CK34</f>
        <v>0</v>
      </c>
      <c r="AH90" s="22"/>
      <c r="AI90" s="22"/>
      <c r="AJ90" s="182">
        <f>+CK37</f>
        <v>0</v>
      </c>
      <c r="AK90" s="55">
        <f>+CK38</f>
        <v>0</v>
      </c>
      <c r="AL90" s="166">
        <f>+CK39</f>
        <v>0</v>
      </c>
      <c r="AM90" s="55">
        <f>+CK40</f>
        <v>0</v>
      </c>
      <c r="AN90" s="161">
        <f>+CK41</f>
        <v>0</v>
      </c>
      <c r="AO90" s="55">
        <f>+CK42</f>
        <v>0</v>
      </c>
      <c r="AP90" s="207">
        <f>+CK43</f>
        <v>0</v>
      </c>
      <c r="AQ90" s="150">
        <f>+CK44</f>
        <v>0</v>
      </c>
      <c r="AR90" s="209">
        <f>+CK45</f>
        <v>0</v>
      </c>
      <c r="AS90" s="150">
        <f>+CK46</f>
        <v>0</v>
      </c>
      <c r="AT90" s="211">
        <f>+CK47</f>
        <v>0</v>
      </c>
      <c r="AU90" s="150">
        <f>+CK48</f>
        <v>0</v>
      </c>
      <c r="AV90" s="201">
        <f>+CK49</f>
        <v>0</v>
      </c>
      <c r="AW90" s="22"/>
      <c r="AX90" s="22"/>
      <c r="AY90" s="270">
        <f>+CK52</f>
        <v>0</v>
      </c>
      <c r="AZ90" s="22"/>
      <c r="BA90" s="182">
        <f>+CK54</f>
        <v>0</v>
      </c>
      <c r="BB90" s="55">
        <f>+CK55</f>
        <v>0</v>
      </c>
      <c r="BC90" s="166">
        <f>+CK56</f>
        <v>0</v>
      </c>
      <c r="BD90" s="55">
        <f>+CK57</f>
        <v>0</v>
      </c>
      <c r="BE90" s="161">
        <f>+CK58</f>
        <v>0</v>
      </c>
      <c r="BF90" s="55">
        <f>+CK59</f>
        <v>0</v>
      </c>
      <c r="BG90" s="207">
        <f>+CK60</f>
        <v>0</v>
      </c>
      <c r="BH90" s="151">
        <f>+CK61</f>
        <v>0</v>
      </c>
      <c r="BI90" s="22"/>
      <c r="BJ90" s="22"/>
      <c r="BK90" s="149">
        <f>COUNTIFS(SEGUIMIENTO!$Z$23:$Z$122,"2",SEGUIMIENTO!$AA$23:$AA$122,"JAC")</f>
        <v>0</v>
      </c>
      <c r="BL90" s="150">
        <f>COUNTIFS(SEGUIMIENTO!$Z$23:$Z$122,"2",SEGUIMIENTO!$AA$23:$AA$122,"JAL")</f>
        <v>0</v>
      </c>
      <c r="BM90" s="150">
        <f>COUNTIFS(SEGUIMIENTO!$Z$23:$Z$122,"2",SEGUIMIENTO!$AA$23:$AA$122,"AMB")</f>
        <v>0</v>
      </c>
      <c r="BN90" s="150">
        <f>COUNTIFS(SEGUIMIENTO!$Z$23:$Z$122,"2",SEGUIMIENTO!$AA$23:$AA$122,"DDHH")</f>
        <v>0</v>
      </c>
      <c r="BO90" s="150">
        <f>COUNTIFS(SEGUIMIENTO!$Z$23:$Z$122,"2",SEGUIMIENTO!$AA$23:$AA$122,"SIND")</f>
        <v>0</v>
      </c>
      <c r="BP90" s="150">
        <f>COUNTIFS(SEGUIMIENTO!$Z$23:$Z$122,"2",SEGUIMIENTO!$AA$23:$AA$122,"REL")</f>
        <v>0</v>
      </c>
      <c r="BQ90" s="150">
        <f>COUNTIFS(SEGUIMIENTO!$Z$23:$Z$122,"2",SEGUIMIENTO!$AA$23:$AA$122,"OTR")</f>
        <v>0</v>
      </c>
      <c r="BR90" s="151">
        <f>COUNTIFS(SEGUIMIENTO!$Z$23:$Z$122,"2",SEGUIMIENTO!$AA$23:$AA$122,"N/A")</f>
        <v>0</v>
      </c>
      <c r="BS90" s="22"/>
      <c r="BT90" s="22"/>
      <c r="BU90" s="149">
        <f>COUNTIFS(SEGUIMIENTO!$Z$23:$Z$122,"2",SEGUIMIENTO!$AB$23:$AB$122,"RUR")</f>
        <v>0</v>
      </c>
      <c r="BV90" s="151">
        <f>COUNTIFS(SEGUIMIENTO!$Z$23:$Z$122,"2",SEGUIMIENTO!$AB$23:$AB$122,"URB")</f>
        <v>0</v>
      </c>
      <c r="BW90" s="22"/>
      <c r="BX90" s="22"/>
      <c r="BY90" s="149">
        <f>COUNTIFS(SEGUIMIENTO!$Z$23:$Z$122,"2",SEGUIMIENTO!$AD$23:$AD$122,"1")</f>
        <v>0</v>
      </c>
      <c r="BZ90" s="150">
        <f>COUNTIFS(SEGUIMIENTO!$Z$23:$Z$122,"2",SEGUIMIENTO!$AD$23:$AD$122,"2")</f>
        <v>0</v>
      </c>
      <c r="CA90" s="150">
        <f>COUNTIFS(SEGUIMIENTO!$Z$23:$Z$122,"2",SEGUIMIENTO!$AD$23:$AD$122,"3")</f>
        <v>0</v>
      </c>
      <c r="CB90" s="150">
        <f>COUNTIFS(SEGUIMIENTO!$Z$23:$Z$122,"2",SEGUIMIENTO!$AD$23:$AD$122,"4")</f>
        <v>0</v>
      </c>
      <c r="CC90" s="150">
        <f>COUNTIFS(SEGUIMIENTO!$Z$23:$Z$122,"2",SEGUIMIENTO!$AD$23:$AD$122,"5")</f>
        <v>0</v>
      </c>
      <c r="CD90" s="150">
        <f>COUNTIFS(SEGUIMIENTO!$Z$23:$Z$122,"2",SEGUIMIENTO!$AD$23:$AD$122,"6")</f>
        <v>0</v>
      </c>
      <c r="CE90" s="150">
        <f>COUNTIFS(SEGUIMIENTO!$Z$23:$Z$122,"2",SEGUIMIENTO!$AD$23:$AD$122,"7")</f>
        <v>0</v>
      </c>
      <c r="CF90" s="150">
        <f>COUNTIFS(SEGUIMIENTO!$Z$23:$Z$122,"2",SEGUIMIENTO!$AD$23:$AD$122,"8")</f>
        <v>0</v>
      </c>
      <c r="CG90" s="151">
        <f>COUNTIFS(SEGUIMIENTO!$Z$23:$Z$122,"2",SEGUIMIENTO!$AD$23:$AD$122,"9")</f>
        <v>0</v>
      </c>
      <c r="CH90" s="475"/>
      <c r="CI90" s="9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284"/>
      <c r="DB90" s="5"/>
      <c r="DC90" s="5"/>
      <c r="DD90" s="5"/>
      <c r="DE90" s="5"/>
      <c r="DF90" s="5"/>
      <c r="DG90" s="5"/>
      <c r="DH90" s="5"/>
      <c r="DI90" s="5"/>
      <c r="DJ90" s="5"/>
      <c r="DK90" s="10"/>
      <c r="DL90" s="5"/>
      <c r="DM90" s="5"/>
      <c r="DN90" s="5"/>
      <c r="DO90" s="5"/>
      <c r="DP90" s="5"/>
      <c r="DQ90" s="5"/>
      <c r="DR90" s="5"/>
      <c r="DS90" s="5"/>
    </row>
    <row r="91" spans="2:140" s="11" customFormat="1" ht="19.95" customHeight="1" x14ac:dyDescent="0.2">
      <c r="B91" s="112"/>
      <c r="C91" s="115"/>
      <c r="D91" s="328" t="s">
        <v>200</v>
      </c>
      <c r="E91" s="334"/>
      <c r="F91" s="334"/>
      <c r="G91" s="334"/>
      <c r="H91" s="334"/>
      <c r="I91" s="334"/>
      <c r="J91" s="334"/>
      <c r="K91" s="334"/>
      <c r="L91" s="334"/>
      <c r="M91" s="165">
        <f>COUNTIF(SEGUIMIENTO!Z$23:Z$122,"3")</f>
        <v>0</v>
      </c>
      <c r="N91" s="22"/>
      <c r="O91" s="182">
        <f>+CL16</f>
        <v>0</v>
      </c>
      <c r="P91" s="55">
        <f>+CL17</f>
        <v>0</v>
      </c>
      <c r="Q91" s="166">
        <f>+CL18</f>
        <v>0</v>
      </c>
      <c r="R91" s="55">
        <f>+CL19</f>
        <v>0</v>
      </c>
      <c r="S91" s="161">
        <f>+CL20</f>
        <v>0</v>
      </c>
      <c r="T91" s="16">
        <f>+CL21</f>
        <v>0</v>
      </c>
      <c r="U91" s="22"/>
      <c r="V91" s="22"/>
      <c r="W91" s="182">
        <f>+CL24</f>
        <v>0</v>
      </c>
      <c r="X91" s="55">
        <f>+CL25</f>
        <v>0</v>
      </c>
      <c r="Y91" s="166">
        <f>+CL26</f>
        <v>0</v>
      </c>
      <c r="Z91" s="55">
        <f>+CL27</f>
        <v>0</v>
      </c>
      <c r="AA91" s="161">
        <f>+CL28</f>
        <v>0</v>
      </c>
      <c r="AB91" s="55">
        <f>+CL29</f>
        <v>0</v>
      </c>
      <c r="AC91" s="198">
        <f>+CL30</f>
        <v>0</v>
      </c>
      <c r="AD91" s="22"/>
      <c r="AE91" s="22"/>
      <c r="AF91" s="182">
        <f>+CL33</f>
        <v>0</v>
      </c>
      <c r="AG91" s="16">
        <f>+CL34</f>
        <v>0</v>
      </c>
      <c r="AH91" s="22"/>
      <c r="AI91" s="22"/>
      <c r="AJ91" s="182">
        <f>+CL37</f>
        <v>0</v>
      </c>
      <c r="AK91" s="55">
        <f>+CL38</f>
        <v>0</v>
      </c>
      <c r="AL91" s="166">
        <f>+CL39</f>
        <v>0</v>
      </c>
      <c r="AM91" s="55">
        <f>+CL40</f>
        <v>0</v>
      </c>
      <c r="AN91" s="161">
        <f>+CL41</f>
        <v>0</v>
      </c>
      <c r="AO91" s="55">
        <f>+CL42</f>
        <v>0</v>
      </c>
      <c r="AP91" s="207">
        <f>+CL43</f>
        <v>0</v>
      </c>
      <c r="AQ91" s="150">
        <f>+CL44</f>
        <v>0</v>
      </c>
      <c r="AR91" s="209">
        <f>+CL45</f>
        <v>0</v>
      </c>
      <c r="AS91" s="150">
        <f>+CL46</f>
        <v>0</v>
      </c>
      <c r="AT91" s="211">
        <f>+CL47</f>
        <v>0</v>
      </c>
      <c r="AU91" s="150">
        <f>+CL48</f>
        <v>0</v>
      </c>
      <c r="AV91" s="201">
        <f>+CL49</f>
        <v>0</v>
      </c>
      <c r="AW91" s="22"/>
      <c r="AX91" s="22"/>
      <c r="AY91" s="270">
        <f>+CL52</f>
        <v>0</v>
      </c>
      <c r="AZ91" s="22"/>
      <c r="BA91" s="182">
        <f>+CL54</f>
        <v>0</v>
      </c>
      <c r="BB91" s="55">
        <f>+CL55</f>
        <v>0</v>
      </c>
      <c r="BC91" s="166">
        <f>+CL56</f>
        <v>0</v>
      </c>
      <c r="BD91" s="55">
        <f>+CK57</f>
        <v>0</v>
      </c>
      <c r="BE91" s="161">
        <f>+CL58</f>
        <v>0</v>
      </c>
      <c r="BF91" s="55">
        <f>+CL59</f>
        <v>0</v>
      </c>
      <c r="BG91" s="207">
        <f>+CL60</f>
        <v>0</v>
      </c>
      <c r="BH91" s="151">
        <f>+CL61</f>
        <v>0</v>
      </c>
      <c r="BI91" s="22"/>
      <c r="BJ91" s="22"/>
      <c r="BK91" s="233">
        <f>COUNTIFS(SEGUIMIENTO!$Z$23:$Z$122,"3",SEGUIMIENTO!$AA$23:$AA$122,"JAC")</f>
        <v>0</v>
      </c>
      <c r="BL91" s="166">
        <f>COUNTIFS(SEGUIMIENTO!$Z$23:$Z$122,"3",SEGUIMIENTO!$AA$23:$AA$122,"JAL")</f>
        <v>0</v>
      </c>
      <c r="BM91" s="239">
        <f>COUNTIFS(SEGUIMIENTO!$Z$23:$Z$122,"3",SEGUIMIENTO!$AA$23:$AA$122,"AMB")</f>
        <v>0</v>
      </c>
      <c r="BN91" s="239">
        <f>COUNTIFS(SEGUIMIENTO!$Z$23:$Z$122,"3",SEGUIMIENTO!$AA$23:$AA$122,"DDHH")</f>
        <v>0</v>
      </c>
      <c r="BO91" s="239">
        <f>COUNTIFS(SEGUIMIENTO!$Z$23:$Z$122,"3",SEGUIMIENTO!$AA$23:$AA$122,"SIND")</f>
        <v>0</v>
      </c>
      <c r="BP91" s="239">
        <f>COUNTIFS(SEGUIMIENTO!$Z$23:$Z$122,"3",SEGUIMIENTO!$AA$23:$AA$122,"REL")</f>
        <v>0</v>
      </c>
      <c r="BQ91" s="239">
        <f>COUNTIFS(SEGUIMIENTO!$Z$23:$Z$122,"3",SEGUIMIENTO!$AA$23:$AA$122,"OTR")</f>
        <v>0</v>
      </c>
      <c r="BR91" s="248">
        <f>COUNTIFS(SEGUIMIENTO!$Z$23:$Z$122,"3",SEGUIMIENTO!$AA$23:$AA$122,"N/A")</f>
        <v>0</v>
      </c>
      <c r="BS91" s="22"/>
      <c r="BT91" s="22"/>
      <c r="BU91" s="233">
        <f>COUNTIFS(SEGUIMIENTO!$Z$23:$Z$122,"3",SEGUIMIENTO!$AB$23:$AB$122,"RUR")</f>
        <v>0</v>
      </c>
      <c r="BV91" s="165">
        <f>COUNTIFS(SEGUIMIENTO!$Z$23:$Z$122,"3",SEGUIMIENTO!$AB$23:$AB$122,"URB")</f>
        <v>0</v>
      </c>
      <c r="BW91" s="22"/>
      <c r="BX91" s="22"/>
      <c r="BY91" s="233">
        <f>COUNTIFS(SEGUIMIENTO!$Z$23:$Z$122,"3",SEGUIMIENTO!$AD$23:$AD$122,"1")</f>
        <v>0</v>
      </c>
      <c r="BZ91" s="166">
        <f>COUNTIFS(SEGUIMIENTO!$Z$23:$Z$122,"3",SEGUIMIENTO!$AD$23:$AD$122,"2")</f>
        <v>0</v>
      </c>
      <c r="CA91" s="239">
        <f>COUNTIFS(SEGUIMIENTO!$Z$23:$Z$122,"3",SEGUIMIENTO!$AD$23:$AD$122,"3")</f>
        <v>0</v>
      </c>
      <c r="CB91" s="239">
        <f>COUNTIFS(SEGUIMIENTO!$Z$23:$Z$122,"3",SEGUIMIENTO!$AD$23:$AD$122,"4")</f>
        <v>0</v>
      </c>
      <c r="CC91" s="239">
        <f>COUNTIFS(SEGUIMIENTO!$Z$23:$Z$122,"3",SEGUIMIENTO!$AD$23:$AD$122,"5")</f>
        <v>0</v>
      </c>
      <c r="CD91" s="239">
        <f>COUNTIFS(SEGUIMIENTO!$Z$23:$Z$122,"3",SEGUIMIENTO!$AD$23:$AD$122,"6")</f>
        <v>0</v>
      </c>
      <c r="CE91" s="239">
        <f>COUNTIFS(SEGUIMIENTO!$Z$23:$Z$122,"3",SEGUIMIENTO!$AD$23:$AD$122,"7")</f>
        <v>0</v>
      </c>
      <c r="CF91" s="239">
        <f>COUNTIFS(SEGUIMIENTO!$Z$23:$Z$122,"3",SEGUIMIENTO!$AD$23:$AD$122,"8")</f>
        <v>0</v>
      </c>
      <c r="CG91" s="248">
        <f>COUNTIFS(SEGUIMIENTO!$Z$23:$Z$122,"3",SEGUIMIENTO!$AD$23:$AD$122,"9")</f>
        <v>0</v>
      </c>
      <c r="CH91" s="475"/>
      <c r="CI91" s="9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55"/>
      <c r="CY91" s="155"/>
      <c r="CZ91" s="155"/>
      <c r="DA91" s="284"/>
      <c r="DB91" s="5"/>
      <c r="DC91" s="5"/>
      <c r="DD91" s="5"/>
      <c r="DE91" s="5"/>
      <c r="DF91" s="5"/>
      <c r="DG91" s="5"/>
      <c r="DH91" s="5"/>
      <c r="DI91" s="5"/>
      <c r="DJ91" s="5"/>
      <c r="DK91" s="10"/>
      <c r="DL91" s="5"/>
      <c r="DM91" s="5"/>
      <c r="DN91" s="5"/>
      <c r="DO91" s="5"/>
      <c r="DP91" s="5"/>
      <c r="DQ91" s="5"/>
      <c r="DR91" s="5"/>
      <c r="DS91" s="5"/>
    </row>
    <row r="92" spans="2:140" s="11" customFormat="1" ht="12.45" customHeight="1" x14ac:dyDescent="0.2">
      <c r="B92" s="112"/>
      <c r="C92" s="115"/>
      <c r="D92" s="296" t="s">
        <v>131</v>
      </c>
      <c r="E92" s="304"/>
      <c r="F92" s="304"/>
      <c r="G92" s="304"/>
      <c r="H92" s="304"/>
      <c r="I92" s="304"/>
      <c r="J92" s="304"/>
      <c r="K92" s="304"/>
      <c r="L92" s="304"/>
      <c r="M92" s="151">
        <f>COUNTIF(SEGUIMIENTO!Z$23:Z$122,"4")</f>
        <v>0</v>
      </c>
      <c r="N92" s="22"/>
      <c r="O92" s="182">
        <f>+CM16</f>
        <v>0</v>
      </c>
      <c r="P92" s="55">
        <f>+CM17</f>
        <v>0</v>
      </c>
      <c r="Q92" s="166">
        <f>+CM18</f>
        <v>0</v>
      </c>
      <c r="R92" s="55">
        <f>+CM19</f>
        <v>0</v>
      </c>
      <c r="S92" s="161">
        <f>+CM20</f>
        <v>0</v>
      </c>
      <c r="T92" s="16">
        <f>+CM21</f>
        <v>0</v>
      </c>
      <c r="U92" s="22"/>
      <c r="V92" s="22"/>
      <c r="W92" s="182">
        <f>+CM24</f>
        <v>0</v>
      </c>
      <c r="X92" s="55">
        <f>+CM25</f>
        <v>0</v>
      </c>
      <c r="Y92" s="166">
        <f>+CM26</f>
        <v>0</v>
      </c>
      <c r="Z92" s="55">
        <f>+CM27</f>
        <v>0</v>
      </c>
      <c r="AA92" s="161">
        <f>+CM28</f>
        <v>0</v>
      </c>
      <c r="AB92" s="55">
        <f>+CM29</f>
        <v>0</v>
      </c>
      <c r="AC92" s="198">
        <f>+CM30</f>
        <v>0</v>
      </c>
      <c r="AD92" s="22"/>
      <c r="AE92" s="22"/>
      <c r="AF92" s="182">
        <f>+CM33</f>
        <v>0</v>
      </c>
      <c r="AG92" s="16">
        <f>+CM34</f>
        <v>0</v>
      </c>
      <c r="AH92" s="22"/>
      <c r="AI92" s="22"/>
      <c r="AJ92" s="182">
        <f>+CM37</f>
        <v>0</v>
      </c>
      <c r="AK92" s="55">
        <f>+CM38</f>
        <v>0</v>
      </c>
      <c r="AL92" s="166">
        <f>+CM39</f>
        <v>0</v>
      </c>
      <c r="AM92" s="55">
        <f>+CM40</f>
        <v>0</v>
      </c>
      <c r="AN92" s="161">
        <f>+CM41</f>
        <v>0</v>
      </c>
      <c r="AO92" s="55">
        <f>+CM42</f>
        <v>0</v>
      </c>
      <c r="AP92" s="207">
        <f>+CM43</f>
        <v>0</v>
      </c>
      <c r="AQ92" s="150">
        <f>+CM44</f>
        <v>0</v>
      </c>
      <c r="AR92" s="209">
        <f>+CM45</f>
        <v>0</v>
      </c>
      <c r="AS92" s="150">
        <f>+CM46</f>
        <v>0</v>
      </c>
      <c r="AT92" s="211">
        <f>+CM47</f>
        <v>0</v>
      </c>
      <c r="AU92" s="150">
        <f>+CM48</f>
        <v>0</v>
      </c>
      <c r="AV92" s="201">
        <f>+CM49</f>
        <v>0</v>
      </c>
      <c r="AW92" s="22"/>
      <c r="AX92" s="22"/>
      <c r="AY92" s="270">
        <f>+CM52</f>
        <v>0</v>
      </c>
      <c r="AZ92" s="22"/>
      <c r="BA92" s="182">
        <f>+CM54</f>
        <v>0</v>
      </c>
      <c r="BB92" s="55">
        <f>+CM55</f>
        <v>0</v>
      </c>
      <c r="BC92" s="166">
        <f>+CM56</f>
        <v>0</v>
      </c>
      <c r="BD92" s="55">
        <f>+CM57</f>
        <v>0</v>
      </c>
      <c r="BE92" s="161">
        <f>+CM58</f>
        <v>0</v>
      </c>
      <c r="BF92" s="55">
        <f>+CM59</f>
        <v>0</v>
      </c>
      <c r="BG92" s="207">
        <f>+CM60</f>
        <v>0</v>
      </c>
      <c r="BH92" s="151">
        <f>+CM61</f>
        <v>0</v>
      </c>
      <c r="BI92" s="22"/>
      <c r="BJ92" s="22"/>
      <c r="BK92" s="149">
        <f>COUNTIFS(SEGUIMIENTO!$Z$23:$Z$122,"4",SEGUIMIENTO!$AA$23:$AA$122,"JAC")</f>
        <v>0</v>
      </c>
      <c r="BL92" s="150">
        <f>COUNTIFS(SEGUIMIENTO!$Z$23:$Z$122,"4",SEGUIMIENTO!$AA$23:$AA$122,"JAL")</f>
        <v>0</v>
      </c>
      <c r="BM92" s="150">
        <f>COUNTIFS(SEGUIMIENTO!$Z$23:$Z$122,"4",SEGUIMIENTO!$AA$23:$AA$122,"AMB")</f>
        <v>0</v>
      </c>
      <c r="BN92" s="150">
        <f>COUNTIFS(SEGUIMIENTO!$Z$23:$Z$122,"4",SEGUIMIENTO!$AA$23:$AA$122,"DDHH")</f>
        <v>0</v>
      </c>
      <c r="BO92" s="150">
        <f>COUNTIFS(SEGUIMIENTO!$Z$23:$Z$122,"4",SEGUIMIENTO!$AA$23:$AA$122,"SIND")</f>
        <v>0</v>
      </c>
      <c r="BP92" s="150">
        <f>COUNTIFS(SEGUIMIENTO!$Z$23:$Z$122,"4",SEGUIMIENTO!$AA$23:$AA$122,"REL")</f>
        <v>0</v>
      </c>
      <c r="BQ92" s="150">
        <f>COUNTIFS(SEGUIMIENTO!$Z$23:$Z$122,"4",SEGUIMIENTO!$AA$23:$AA$122,"OTR")</f>
        <v>0</v>
      </c>
      <c r="BR92" s="151">
        <f>COUNTIFS(SEGUIMIENTO!$Z$23:$Z$122,"4",SEGUIMIENTO!$AA$23:$AA$122,"N/A")</f>
        <v>0</v>
      </c>
      <c r="BS92" s="22"/>
      <c r="BT92" s="22"/>
      <c r="BU92" s="149">
        <f>COUNTIFS(SEGUIMIENTO!$Z$23:$Z$122,"4",SEGUIMIENTO!$AB$23:$AB$122,"RUR")</f>
        <v>0</v>
      </c>
      <c r="BV92" s="151">
        <f>COUNTIFS(SEGUIMIENTO!$Z$23:$Z$122,"4",SEGUIMIENTO!$AB$23:$AB$122,"URB")</f>
        <v>0</v>
      </c>
      <c r="BW92" s="22"/>
      <c r="BX92" s="22"/>
      <c r="BY92" s="149">
        <f>COUNTIFS(SEGUIMIENTO!$Z$23:$Z$122,"4",SEGUIMIENTO!$AD$23:$AD$122,"1")</f>
        <v>0</v>
      </c>
      <c r="BZ92" s="150">
        <f>COUNTIFS(SEGUIMIENTO!$Z$23:$Z$122,"4",SEGUIMIENTO!$AD$23:$AD$122,"2")</f>
        <v>0</v>
      </c>
      <c r="CA92" s="150">
        <f>COUNTIFS(SEGUIMIENTO!$Z$23:$Z$122,"4",SEGUIMIENTO!$AD$23:$AD$122,"3")</f>
        <v>0</v>
      </c>
      <c r="CB92" s="150">
        <f>COUNTIFS(SEGUIMIENTO!$Z$23:$Z$122,"4",SEGUIMIENTO!$AD$23:$AD$122,"4")</f>
        <v>0</v>
      </c>
      <c r="CC92" s="150">
        <f>COUNTIFS(SEGUIMIENTO!$Z$23:$Z$122,"4",SEGUIMIENTO!$AD$23:$AD$122,"5")</f>
        <v>0</v>
      </c>
      <c r="CD92" s="150">
        <f>COUNTIFS(SEGUIMIENTO!$Z$23:$Z$122,"4",SEGUIMIENTO!$AD$23:$AD$122,"6")</f>
        <v>0</v>
      </c>
      <c r="CE92" s="150">
        <f>COUNTIFS(SEGUIMIENTO!$Z$23:$Z$122,"4",SEGUIMIENTO!$AD$23:$AD$122,"7")</f>
        <v>0</v>
      </c>
      <c r="CF92" s="150">
        <f>COUNTIFS(SEGUIMIENTO!$Z$23:$Z$122,"4",SEGUIMIENTO!$AD$23:$AD$122,"8")</f>
        <v>0</v>
      </c>
      <c r="CG92" s="151">
        <f>COUNTIFS(SEGUIMIENTO!$Z$23:$Z$122,"4",SEGUIMIENTO!$AD$23:$AD$122,"9")</f>
        <v>0</v>
      </c>
      <c r="CH92" s="475"/>
      <c r="CI92" s="9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284"/>
      <c r="DB92" s="5"/>
      <c r="DC92" s="5"/>
      <c r="DD92" s="5"/>
      <c r="DE92" s="5"/>
      <c r="DF92" s="5"/>
      <c r="DG92" s="5"/>
      <c r="DH92" s="5"/>
      <c r="DI92" s="5"/>
      <c r="DJ92" s="5"/>
      <c r="DK92" s="10"/>
      <c r="DL92" s="5"/>
      <c r="DM92" s="5"/>
      <c r="DN92" s="5"/>
      <c r="DO92" s="5"/>
      <c r="DP92" s="5"/>
      <c r="DQ92" s="5"/>
      <c r="DR92" s="5"/>
      <c r="DS92" s="5"/>
      <c r="EJ92" s="147"/>
    </row>
    <row r="93" spans="2:140" s="11" customFormat="1" ht="12.45" customHeight="1" x14ac:dyDescent="0.2">
      <c r="B93" s="112"/>
      <c r="C93" s="115"/>
      <c r="D93" s="298" t="s">
        <v>132</v>
      </c>
      <c r="E93" s="306"/>
      <c r="F93" s="306"/>
      <c r="G93" s="306"/>
      <c r="H93" s="306"/>
      <c r="I93" s="306"/>
      <c r="J93" s="306"/>
      <c r="K93" s="306"/>
      <c r="L93" s="306"/>
      <c r="M93" s="162">
        <f>COUNTIF(SEGUIMIENTO!Z$23:Z$122,"5")</f>
        <v>0</v>
      </c>
      <c r="N93" s="22"/>
      <c r="O93" s="182">
        <f>+CN16</f>
        <v>0</v>
      </c>
      <c r="P93" s="55">
        <f>+CN17</f>
        <v>0</v>
      </c>
      <c r="Q93" s="166">
        <f>+CN18</f>
        <v>0</v>
      </c>
      <c r="R93" s="55">
        <f>+CN19</f>
        <v>0</v>
      </c>
      <c r="S93" s="161">
        <f>+CN20</f>
        <v>0</v>
      </c>
      <c r="T93" s="16">
        <f>+CN21</f>
        <v>0</v>
      </c>
      <c r="U93" s="22"/>
      <c r="V93" s="22"/>
      <c r="W93" s="182">
        <f>+CN24</f>
        <v>0</v>
      </c>
      <c r="X93" s="55">
        <f>+CN25</f>
        <v>0</v>
      </c>
      <c r="Y93" s="166">
        <f>+CN26</f>
        <v>0</v>
      </c>
      <c r="Z93" s="55">
        <f>+CN27</f>
        <v>0</v>
      </c>
      <c r="AA93" s="161">
        <f>+CN28</f>
        <v>0</v>
      </c>
      <c r="AB93" s="55">
        <f>+CN29</f>
        <v>0</v>
      </c>
      <c r="AC93" s="198">
        <f>+CN30</f>
        <v>0</v>
      </c>
      <c r="AD93" s="22"/>
      <c r="AE93" s="22"/>
      <c r="AF93" s="182">
        <f>+CN33</f>
        <v>0</v>
      </c>
      <c r="AG93" s="16">
        <f>+CN34</f>
        <v>0</v>
      </c>
      <c r="AH93" s="22"/>
      <c r="AI93" s="22"/>
      <c r="AJ93" s="182">
        <f>+CN37</f>
        <v>0</v>
      </c>
      <c r="AK93" s="55">
        <f>+CN38</f>
        <v>0</v>
      </c>
      <c r="AL93" s="166">
        <f>+CN39</f>
        <v>0</v>
      </c>
      <c r="AM93" s="55">
        <f>+CN40</f>
        <v>0</v>
      </c>
      <c r="AN93" s="161">
        <f>+CN41</f>
        <v>0</v>
      </c>
      <c r="AO93" s="55">
        <f>+CN42</f>
        <v>0</v>
      </c>
      <c r="AP93" s="207">
        <f>+CN43</f>
        <v>0</v>
      </c>
      <c r="AQ93" s="150">
        <f>+CN44</f>
        <v>0</v>
      </c>
      <c r="AR93" s="209">
        <f>+CN45</f>
        <v>0</v>
      </c>
      <c r="AS93" s="150">
        <f>+CN46</f>
        <v>0</v>
      </c>
      <c r="AT93" s="211">
        <f>+CN47</f>
        <v>0</v>
      </c>
      <c r="AU93" s="150">
        <f>+CN48</f>
        <v>0</v>
      </c>
      <c r="AV93" s="201">
        <f>+CN49</f>
        <v>0</v>
      </c>
      <c r="AW93" s="22"/>
      <c r="AX93" s="22"/>
      <c r="AY93" s="270">
        <f>+CN52</f>
        <v>0</v>
      </c>
      <c r="AZ93" s="22"/>
      <c r="BA93" s="182">
        <f>+CN54</f>
        <v>0</v>
      </c>
      <c r="BB93" s="55">
        <f>+CN55</f>
        <v>0</v>
      </c>
      <c r="BC93" s="166">
        <f>+CN56</f>
        <v>0</v>
      </c>
      <c r="BD93" s="55">
        <f>+CN57</f>
        <v>0</v>
      </c>
      <c r="BE93" s="161">
        <f>+CN58</f>
        <v>0</v>
      </c>
      <c r="BF93" s="55">
        <f>+CN59</f>
        <v>0</v>
      </c>
      <c r="BG93" s="207">
        <f>+CN60</f>
        <v>0</v>
      </c>
      <c r="BH93" s="151">
        <f>+CN61</f>
        <v>0</v>
      </c>
      <c r="BI93" s="22"/>
      <c r="BJ93" s="22"/>
      <c r="BK93" s="160">
        <f>COUNTIFS(SEGUIMIENTO!$Z$23:$Z$122,"5",SEGUIMIENTO!$AA$23:$AA$122,"JAC")</f>
        <v>0</v>
      </c>
      <c r="BL93" s="161">
        <f>COUNTIFS(SEGUIMIENTO!$Z$23:$Z$122,"5",SEGUIMIENTO!$AA$23:$AA$122,"JAL")</f>
        <v>0</v>
      </c>
      <c r="BM93" s="161">
        <f>COUNTIFS(SEGUIMIENTO!$Z$23:$Z$122,"5",SEGUIMIENTO!$AA$23:$AA$122,"AMB")</f>
        <v>0</v>
      </c>
      <c r="BN93" s="161">
        <f>COUNTIFS(SEGUIMIENTO!$Z$23:$Z$122,"5",SEGUIMIENTO!$AA$23:$AA$122,"DDHH")</f>
        <v>0</v>
      </c>
      <c r="BO93" s="161">
        <f>COUNTIFS(SEGUIMIENTO!$Z$23:$Z$122,"5",SEGUIMIENTO!$AA$23:$AA$122,"SIND")</f>
        <v>0</v>
      </c>
      <c r="BP93" s="161">
        <f>COUNTIFS(SEGUIMIENTO!$Z$23:$Z$122,"5",SEGUIMIENTO!$AA$23:$AA$122,"REL")</f>
        <v>0</v>
      </c>
      <c r="BQ93" s="161">
        <f>COUNTIFS(SEGUIMIENTO!$Z$23:$Z$122,"5",SEGUIMIENTO!$AA$23:$AA$122,"OTR")</f>
        <v>0</v>
      </c>
      <c r="BR93" s="162">
        <f>COUNTIFS(SEGUIMIENTO!$Z$23:$Z$122,"5",SEGUIMIENTO!$AA$23:$AA$122,"N/A")</f>
        <v>0</v>
      </c>
      <c r="BS93" s="22"/>
      <c r="BT93" s="22"/>
      <c r="BU93" s="160">
        <f>COUNTIFS(SEGUIMIENTO!$Z$23:$Z$122,"5",SEGUIMIENTO!$AB$23:$AB$122,"RUR")</f>
        <v>0</v>
      </c>
      <c r="BV93" s="162">
        <f>COUNTIFS(SEGUIMIENTO!$Z$23:$Z$122,"5",SEGUIMIENTO!$AB$23:$AB$122,"URB")</f>
        <v>0</v>
      </c>
      <c r="BW93" s="22"/>
      <c r="BX93" s="22"/>
      <c r="BY93" s="160">
        <f>COUNTIFS(SEGUIMIENTO!$Z$23:$Z$122,"5",SEGUIMIENTO!$AD$23:$AD$122,"1")</f>
        <v>0</v>
      </c>
      <c r="BZ93" s="161">
        <f>COUNTIFS(SEGUIMIENTO!$Z$23:$Z$122,"5",SEGUIMIENTO!$AD$23:$AD$122,"2")</f>
        <v>0</v>
      </c>
      <c r="CA93" s="161">
        <f>COUNTIFS(SEGUIMIENTO!$Z$23:$Z$122,"5",SEGUIMIENTO!$AD$23:$AD$122,"3")</f>
        <v>0</v>
      </c>
      <c r="CB93" s="161">
        <f>COUNTIFS(SEGUIMIENTO!$Z$23:$Z$122,"5",SEGUIMIENTO!$AD$23:$AD$122,"4")</f>
        <v>0</v>
      </c>
      <c r="CC93" s="161">
        <f>COUNTIFS(SEGUIMIENTO!$Z$23:$Z$122,"5",SEGUIMIENTO!$AD$23:$AD$122,"5")</f>
        <v>0</v>
      </c>
      <c r="CD93" s="161">
        <f>COUNTIFS(SEGUIMIENTO!$Z$23:$Z$122,"5",SEGUIMIENTO!$AD$23:$AD$122,"6")</f>
        <v>0</v>
      </c>
      <c r="CE93" s="161">
        <f>COUNTIFS(SEGUIMIENTO!$Z$23:$Z$122,"5",SEGUIMIENTO!$AD$23:$AD$122,"7")</f>
        <v>0</v>
      </c>
      <c r="CF93" s="161">
        <f>COUNTIFS(SEGUIMIENTO!$Z$23:$Z$122,"5",SEGUIMIENTO!$AD$23:$AD$122,"8")</f>
        <v>0</v>
      </c>
      <c r="CG93" s="162">
        <f>COUNTIFS(SEGUIMIENTO!$Z$23:$Z$122,"5",SEGUIMIENTO!$AD$23:$AD$122,"9")</f>
        <v>0</v>
      </c>
      <c r="CH93" s="475"/>
      <c r="CI93" s="9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284"/>
      <c r="DB93" s="5"/>
      <c r="DC93" s="5"/>
      <c r="DD93" s="5"/>
      <c r="DE93" s="5"/>
      <c r="DF93" s="5"/>
      <c r="DG93" s="5"/>
      <c r="DH93" s="5"/>
      <c r="DI93" s="5"/>
      <c r="DJ93" s="5"/>
      <c r="DK93" s="10"/>
      <c r="DL93" s="5"/>
      <c r="DM93" s="5"/>
      <c r="DN93" s="5"/>
      <c r="DO93" s="5"/>
      <c r="DP93" s="5"/>
      <c r="DQ93" s="5"/>
      <c r="DR93" s="5"/>
      <c r="DS93" s="5"/>
    </row>
    <row r="94" spans="2:140" s="11" customFormat="1" ht="12.45" customHeight="1" x14ac:dyDescent="0.2">
      <c r="B94" s="112"/>
      <c r="C94" s="115"/>
      <c r="D94" s="296" t="s">
        <v>133</v>
      </c>
      <c r="E94" s="304"/>
      <c r="F94" s="304"/>
      <c r="G94" s="304"/>
      <c r="H94" s="304"/>
      <c r="I94" s="304"/>
      <c r="J94" s="304"/>
      <c r="K94" s="304"/>
      <c r="L94" s="304"/>
      <c r="M94" s="151">
        <f>COUNTIF(SEGUIMIENTO!Z$23:Z$122,"6")</f>
        <v>0</v>
      </c>
      <c r="N94" s="22"/>
      <c r="O94" s="182">
        <f>+CO16</f>
        <v>0</v>
      </c>
      <c r="P94" s="55">
        <f>+CO17</f>
        <v>0</v>
      </c>
      <c r="Q94" s="166">
        <f>+CO18</f>
        <v>0</v>
      </c>
      <c r="R94" s="55">
        <f>+CO19</f>
        <v>0</v>
      </c>
      <c r="S94" s="161">
        <f>+CO20</f>
        <v>0</v>
      </c>
      <c r="T94" s="16">
        <f>+CO21</f>
        <v>0</v>
      </c>
      <c r="U94" s="22"/>
      <c r="V94" s="22"/>
      <c r="W94" s="182">
        <f>+CO24</f>
        <v>0</v>
      </c>
      <c r="X94" s="55">
        <f>+CO25</f>
        <v>0</v>
      </c>
      <c r="Y94" s="166">
        <f>+CO26</f>
        <v>0</v>
      </c>
      <c r="Z94" s="55">
        <f>+CO27</f>
        <v>0</v>
      </c>
      <c r="AA94" s="161">
        <f>+CO28</f>
        <v>0</v>
      </c>
      <c r="AB94" s="55">
        <f>+CO29</f>
        <v>0</v>
      </c>
      <c r="AC94" s="198">
        <f>+CO30</f>
        <v>0</v>
      </c>
      <c r="AD94" s="22"/>
      <c r="AE94" s="22"/>
      <c r="AF94" s="182">
        <f>+CO33</f>
        <v>0</v>
      </c>
      <c r="AG94" s="16">
        <f>+CO34</f>
        <v>0</v>
      </c>
      <c r="AH94" s="22"/>
      <c r="AI94" s="22"/>
      <c r="AJ94" s="182">
        <f>+CO37</f>
        <v>0</v>
      </c>
      <c r="AK94" s="55">
        <f>+CO38</f>
        <v>0</v>
      </c>
      <c r="AL94" s="166">
        <f>+CO39</f>
        <v>0</v>
      </c>
      <c r="AM94" s="55">
        <f>+CO40</f>
        <v>0</v>
      </c>
      <c r="AN94" s="161">
        <f>+CO41</f>
        <v>0</v>
      </c>
      <c r="AO94" s="55">
        <f>+CO42</f>
        <v>0</v>
      </c>
      <c r="AP94" s="207">
        <f>+CO43</f>
        <v>0</v>
      </c>
      <c r="AQ94" s="150">
        <f>+CO44</f>
        <v>0</v>
      </c>
      <c r="AR94" s="209">
        <f>+CO45</f>
        <v>0</v>
      </c>
      <c r="AS94" s="150">
        <f>+CO46</f>
        <v>0</v>
      </c>
      <c r="AT94" s="211">
        <f>+CO47</f>
        <v>0</v>
      </c>
      <c r="AU94" s="150">
        <f>+CO48</f>
        <v>0</v>
      </c>
      <c r="AV94" s="201">
        <f>+CO49</f>
        <v>0</v>
      </c>
      <c r="AW94" s="22"/>
      <c r="AX94" s="22"/>
      <c r="AY94" s="270">
        <f>+CO52</f>
        <v>0</v>
      </c>
      <c r="AZ94" s="22"/>
      <c r="BA94" s="182">
        <f>+CO54</f>
        <v>0</v>
      </c>
      <c r="BB94" s="55">
        <f>+CO55</f>
        <v>0</v>
      </c>
      <c r="BC94" s="166">
        <f>+CO56</f>
        <v>0</v>
      </c>
      <c r="BD94" s="55">
        <f>+CO57</f>
        <v>0</v>
      </c>
      <c r="BE94" s="161">
        <f>+CO58</f>
        <v>0</v>
      </c>
      <c r="BF94" s="55">
        <f>+CO59</f>
        <v>0</v>
      </c>
      <c r="BG94" s="207">
        <f>+CO60</f>
        <v>0</v>
      </c>
      <c r="BH94" s="151">
        <f>+CO61</f>
        <v>0</v>
      </c>
      <c r="BI94" s="22"/>
      <c r="BJ94" s="22"/>
      <c r="BK94" s="149">
        <f>COUNTIFS(SEGUIMIENTO!$Z$23:$Z$122,"6",SEGUIMIENTO!$AA$23:$AA$122,"JAC")</f>
        <v>0</v>
      </c>
      <c r="BL94" s="150">
        <f>COUNTIFS(SEGUIMIENTO!$Z$23:$Z$122,"6",SEGUIMIENTO!$AA$23:$AA$122,"JAL")</f>
        <v>0</v>
      </c>
      <c r="BM94" s="150">
        <f>COUNTIFS(SEGUIMIENTO!$Z$23:$Z$122,"6",SEGUIMIENTO!$AA$23:$AA$122,"AMB")</f>
        <v>0</v>
      </c>
      <c r="BN94" s="150">
        <f>COUNTIFS(SEGUIMIENTO!$Z$23:$Z$122,"6",SEGUIMIENTO!$AA$23:$AA$122,"DDHH")</f>
        <v>0</v>
      </c>
      <c r="BO94" s="150">
        <f>COUNTIFS(SEGUIMIENTO!$Z$23:$Z$122,"6",SEGUIMIENTO!$AA$23:$AA$122,"SIND")</f>
        <v>0</v>
      </c>
      <c r="BP94" s="150">
        <f>COUNTIFS(SEGUIMIENTO!$Z$23:$Z$122,"6",SEGUIMIENTO!$AA$23:$AA$122,"REL")</f>
        <v>0</v>
      </c>
      <c r="BQ94" s="150">
        <f>COUNTIFS(SEGUIMIENTO!$Z$23:$Z$122,"6",SEGUIMIENTO!$AA$23:$AA$122,"OTR")</f>
        <v>0</v>
      </c>
      <c r="BR94" s="151">
        <f>COUNTIFS(SEGUIMIENTO!$Z$23:$Z$122,"6",SEGUIMIENTO!$AA$23:$AA$122,"N/A")</f>
        <v>0</v>
      </c>
      <c r="BS94" s="22"/>
      <c r="BT94" s="22"/>
      <c r="BU94" s="149">
        <f>COUNTIFS(SEGUIMIENTO!$Z$23:$Z$122,"6",SEGUIMIENTO!$AB$23:$AB$122,"RUR")</f>
        <v>0</v>
      </c>
      <c r="BV94" s="151">
        <f>COUNTIFS(SEGUIMIENTO!$Z$23:$Z$122,"6",SEGUIMIENTO!$AB$23:$AB$122,"URB")</f>
        <v>0</v>
      </c>
      <c r="BW94" s="22"/>
      <c r="BX94" s="22"/>
      <c r="BY94" s="149">
        <f>COUNTIFS(SEGUIMIENTO!$Z$23:$Z$122,"6",SEGUIMIENTO!$AD$23:$AD$122,"1")</f>
        <v>0</v>
      </c>
      <c r="BZ94" s="150">
        <f>COUNTIFS(SEGUIMIENTO!$Z$23:$Z$122,"6",SEGUIMIENTO!$AD$23:$AD$122,"2")</f>
        <v>0</v>
      </c>
      <c r="CA94" s="150">
        <f>COUNTIFS(SEGUIMIENTO!$Z$23:$Z$122,"6",SEGUIMIENTO!$AD$23:$AD$122,"3")</f>
        <v>0</v>
      </c>
      <c r="CB94" s="150">
        <f>COUNTIFS(SEGUIMIENTO!$Z$23:$Z$122,"6",SEGUIMIENTO!$AD$23:$AD$122,"4")</f>
        <v>0</v>
      </c>
      <c r="CC94" s="150">
        <f>COUNTIFS(SEGUIMIENTO!$Z$23:$Z$122,"6",SEGUIMIENTO!$AD$23:$AD$122,"5")</f>
        <v>0</v>
      </c>
      <c r="CD94" s="150">
        <f>COUNTIFS(SEGUIMIENTO!$Z$23:$Z$122,"6",SEGUIMIENTO!$AD$23:$AD$122,"6")</f>
        <v>0</v>
      </c>
      <c r="CE94" s="150">
        <f>COUNTIFS(SEGUIMIENTO!$Z$23:$Z$122,"6",SEGUIMIENTO!$AD$23:$AD$122,"7")</f>
        <v>0</v>
      </c>
      <c r="CF94" s="150">
        <f>COUNTIFS(SEGUIMIENTO!$Z$23:$Z$122,"6",SEGUIMIENTO!$AD$23:$AD$122,"8")</f>
        <v>0</v>
      </c>
      <c r="CG94" s="151">
        <f>COUNTIFS(SEGUIMIENTO!$Z$23:$Z$122,"6",SEGUIMIENTO!$AD$23:$AD$122,"9")</f>
        <v>0</v>
      </c>
      <c r="CH94" s="475"/>
      <c r="CI94" s="9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284"/>
      <c r="DB94" s="5"/>
      <c r="DC94" s="5"/>
      <c r="DD94" s="5"/>
      <c r="DE94" s="5"/>
      <c r="DF94" s="5"/>
      <c r="DG94" s="5"/>
      <c r="DH94" s="5"/>
      <c r="DI94" s="5"/>
      <c r="DJ94" s="5"/>
      <c r="DK94" s="10"/>
      <c r="DL94" s="5"/>
      <c r="DM94" s="5"/>
      <c r="DN94" s="5"/>
      <c r="DO94" s="5"/>
      <c r="DP94" s="5"/>
      <c r="DQ94" s="5"/>
      <c r="DR94" s="5"/>
      <c r="DS94" s="5"/>
    </row>
    <row r="95" spans="2:140" s="11" customFormat="1" ht="19.95" customHeight="1" x14ac:dyDescent="0.2">
      <c r="B95" s="112"/>
      <c r="C95" s="115"/>
      <c r="D95" s="329" t="s">
        <v>134</v>
      </c>
      <c r="E95" s="336"/>
      <c r="F95" s="336"/>
      <c r="G95" s="336"/>
      <c r="H95" s="336"/>
      <c r="I95" s="336"/>
      <c r="J95" s="336"/>
      <c r="K95" s="336"/>
      <c r="L95" s="336"/>
      <c r="M95" s="198">
        <f>COUNTIF(SEGUIMIENTO!Z$23:Z$122,"7")</f>
        <v>0</v>
      </c>
      <c r="N95" s="22"/>
      <c r="O95" s="182">
        <f>+CP16</f>
        <v>0</v>
      </c>
      <c r="P95" s="55">
        <f>+CP17</f>
        <v>0</v>
      </c>
      <c r="Q95" s="166">
        <f>+CP18</f>
        <v>0</v>
      </c>
      <c r="R95" s="55">
        <f>+CP19</f>
        <v>0</v>
      </c>
      <c r="S95" s="161">
        <f>+CP20</f>
        <v>0</v>
      </c>
      <c r="T95" s="16">
        <f>+CP21</f>
        <v>0</v>
      </c>
      <c r="U95" s="22"/>
      <c r="V95" s="22"/>
      <c r="W95" s="182">
        <f>+CP24</f>
        <v>0</v>
      </c>
      <c r="X95" s="55">
        <f>+CP25</f>
        <v>0</v>
      </c>
      <c r="Y95" s="166">
        <f>+CP26</f>
        <v>0</v>
      </c>
      <c r="Z95" s="55">
        <f>+CP27</f>
        <v>0</v>
      </c>
      <c r="AA95" s="161">
        <f>+CP28</f>
        <v>0</v>
      </c>
      <c r="AB95" s="55">
        <f>+CP29</f>
        <v>0</v>
      </c>
      <c r="AC95" s="198">
        <f>+CP30</f>
        <v>0</v>
      </c>
      <c r="AD95" s="22"/>
      <c r="AE95" s="22"/>
      <c r="AF95" s="182">
        <f>+CP33</f>
        <v>0</v>
      </c>
      <c r="AG95" s="16">
        <f>+CP34</f>
        <v>0</v>
      </c>
      <c r="AH95" s="22"/>
      <c r="AI95" s="22"/>
      <c r="AJ95" s="182">
        <f>+CP37</f>
        <v>0</v>
      </c>
      <c r="AK95" s="55">
        <f>+CP38</f>
        <v>0</v>
      </c>
      <c r="AL95" s="166">
        <f>+CP39</f>
        <v>0</v>
      </c>
      <c r="AM95" s="55">
        <f>+CP40</f>
        <v>0</v>
      </c>
      <c r="AN95" s="161">
        <f>+CP41</f>
        <v>0</v>
      </c>
      <c r="AO95" s="55">
        <f>+CP42</f>
        <v>0</v>
      </c>
      <c r="AP95" s="207">
        <f>+CP43</f>
        <v>0</v>
      </c>
      <c r="AQ95" s="150">
        <f>+CP44</f>
        <v>0</v>
      </c>
      <c r="AR95" s="209">
        <f>+CP45</f>
        <v>0</v>
      </c>
      <c r="AS95" s="150">
        <f>+CP46</f>
        <v>0</v>
      </c>
      <c r="AT95" s="211">
        <f>+CP47</f>
        <v>0</v>
      </c>
      <c r="AU95" s="150">
        <f>+CP48</f>
        <v>0</v>
      </c>
      <c r="AV95" s="201">
        <f>+CP49</f>
        <v>0</v>
      </c>
      <c r="AW95" s="22"/>
      <c r="AX95" s="22"/>
      <c r="AY95" s="270">
        <f>+CP52</f>
        <v>0</v>
      </c>
      <c r="AZ95" s="22"/>
      <c r="BA95" s="182">
        <f>+CP54</f>
        <v>0</v>
      </c>
      <c r="BB95" s="55">
        <f>+CP55</f>
        <v>0</v>
      </c>
      <c r="BC95" s="166">
        <f>+CP56</f>
        <v>0</v>
      </c>
      <c r="BD95" s="55">
        <f>+CP57</f>
        <v>0</v>
      </c>
      <c r="BE95" s="161">
        <f>+CP58</f>
        <v>0</v>
      </c>
      <c r="BF95" s="55">
        <f>+CP59</f>
        <v>0</v>
      </c>
      <c r="BG95" s="207">
        <f>+CP60</f>
        <v>0</v>
      </c>
      <c r="BH95" s="151">
        <f>+CP61</f>
        <v>0</v>
      </c>
      <c r="BI95" s="22"/>
      <c r="BJ95" s="22"/>
      <c r="BK95" s="234">
        <f>COUNTIFS(SEGUIMIENTO!$Z$23:$Z$122,"7",SEGUIMIENTO!$AA$23:$AA$122,"JAC")</f>
        <v>0</v>
      </c>
      <c r="BL95" s="207">
        <f>COUNTIFS(SEGUIMIENTO!$Z$23:$Z$122,"7",SEGUIMIENTO!$AA$23:$AA$122,"JAL")</f>
        <v>0</v>
      </c>
      <c r="BM95" s="240">
        <f>COUNTIFS(SEGUIMIENTO!$Z$23:$Z$122,"7",SEGUIMIENTO!$AA$23:$AA$122,"AMB")</f>
        <v>0</v>
      </c>
      <c r="BN95" s="240">
        <f>COUNTIFS(SEGUIMIENTO!$Z$23:$Z$122,"7",SEGUIMIENTO!$AA$23:$AA$122,"DDHH")</f>
        <v>0</v>
      </c>
      <c r="BO95" s="240">
        <f>COUNTIFS(SEGUIMIENTO!$Z$23:$Z$122,"7",SEGUIMIENTO!$AA$23:$AA$122,"SIND")</f>
        <v>0</v>
      </c>
      <c r="BP95" s="240">
        <f>COUNTIFS(SEGUIMIENTO!$Z$23:$Z$122,"7",SEGUIMIENTO!$AA$23:$AA$122,"REL")</f>
        <v>0</v>
      </c>
      <c r="BQ95" s="240">
        <f>COUNTIFS(SEGUIMIENTO!$Z$23:$Z$122,"7",SEGUIMIENTO!$AA$23:$AA$122,"OTR")</f>
        <v>0</v>
      </c>
      <c r="BR95" s="249">
        <f>COUNTIFS(SEGUIMIENTO!$Z$23:$Z$122,"7",SEGUIMIENTO!$AA$23:$AA$122,"N/A")</f>
        <v>0</v>
      </c>
      <c r="BS95" s="22"/>
      <c r="BT95" s="22"/>
      <c r="BU95" s="234">
        <f>COUNTIFS(SEGUIMIENTO!$Z$23:$Z$122,"7",SEGUIMIENTO!$AB$23:$AB$122,"RUR")</f>
        <v>0</v>
      </c>
      <c r="BV95" s="198">
        <f>COUNTIFS(SEGUIMIENTO!$Z$23:$Z$122,"7",SEGUIMIENTO!$AB$23:$AB$122,"URB")</f>
        <v>0</v>
      </c>
      <c r="BW95" s="22"/>
      <c r="BX95" s="22"/>
      <c r="BY95" s="234">
        <f>COUNTIFS(SEGUIMIENTO!$Z$23:$Z$122,"7",SEGUIMIENTO!$AD$23:$AD$122,"1")</f>
        <v>0</v>
      </c>
      <c r="BZ95" s="207">
        <f>COUNTIFS(SEGUIMIENTO!$Z$23:$Z$122,"7",SEGUIMIENTO!$AD$23:$AD$122,"2")</f>
        <v>0</v>
      </c>
      <c r="CA95" s="240">
        <f>COUNTIFS(SEGUIMIENTO!$Z$23:$Z$122,"7",SEGUIMIENTO!$AD$23:$AD$122,"3")</f>
        <v>0</v>
      </c>
      <c r="CB95" s="240">
        <f>COUNTIFS(SEGUIMIENTO!$Z$23:$Z$122,"7",SEGUIMIENTO!$AD$23:$AD$122,"4")</f>
        <v>0</v>
      </c>
      <c r="CC95" s="240">
        <f>COUNTIFS(SEGUIMIENTO!$Z$23:$Z$122,"7",SEGUIMIENTO!$AD$23:$AD$122,"5")</f>
        <v>0</v>
      </c>
      <c r="CD95" s="240">
        <f>COUNTIFS(SEGUIMIENTO!$Z$23:$Z$122,"7",SEGUIMIENTO!$AD$23:$AD$122,"6")</f>
        <v>0</v>
      </c>
      <c r="CE95" s="240">
        <f>COUNTIFS(SEGUIMIENTO!$Z$23:$Z$122,"7",SEGUIMIENTO!$AD$23:$AD$122,"7")</f>
        <v>0</v>
      </c>
      <c r="CF95" s="240">
        <f>COUNTIFS(SEGUIMIENTO!$Z$23:$Z$122,"7",SEGUIMIENTO!$AD$23:$AD$122,"8")</f>
        <v>0</v>
      </c>
      <c r="CG95" s="249">
        <f>COUNTIFS(SEGUIMIENTO!$Z$23:$Z$122,"7",SEGUIMIENTO!$AD$23:$AD$122,"9")</f>
        <v>0</v>
      </c>
      <c r="CH95" s="475"/>
      <c r="CI95" s="9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284"/>
      <c r="DB95" s="5"/>
      <c r="DC95" s="5"/>
      <c r="DD95" s="5"/>
      <c r="DE95" s="5"/>
      <c r="DF95" s="5"/>
      <c r="DG95" s="5"/>
      <c r="DH95" s="5"/>
      <c r="DI95" s="5"/>
      <c r="DJ95" s="5"/>
      <c r="DK95" s="10"/>
      <c r="DL95" s="5"/>
      <c r="DM95" s="5"/>
      <c r="DN95" s="5"/>
      <c r="DO95" s="5"/>
      <c r="DP95" s="5"/>
      <c r="DQ95" s="5"/>
      <c r="DR95" s="5"/>
      <c r="DS95" s="5"/>
    </row>
    <row r="96" spans="2:140" s="11" customFormat="1" ht="12.45" customHeight="1" x14ac:dyDescent="0.2">
      <c r="B96" s="112"/>
      <c r="C96" s="115"/>
      <c r="D96" s="85" t="s">
        <v>135</v>
      </c>
      <c r="E96" s="80"/>
      <c r="F96" s="80"/>
      <c r="G96" s="80"/>
      <c r="H96" s="80"/>
      <c r="I96" s="80"/>
      <c r="J96" s="80"/>
      <c r="K96" s="80"/>
      <c r="L96" s="80"/>
      <c r="M96" s="16">
        <f>COUNTIF(SEGUIMIENTO!Z$23:Z$122,"8")</f>
        <v>0</v>
      </c>
      <c r="N96" s="22"/>
      <c r="O96" s="182">
        <f>+CQ16</f>
        <v>0</v>
      </c>
      <c r="P96" s="55">
        <f>+CQ17</f>
        <v>0</v>
      </c>
      <c r="Q96" s="166">
        <f>+CQ18</f>
        <v>0</v>
      </c>
      <c r="R96" s="55">
        <f>+CQ19</f>
        <v>0</v>
      </c>
      <c r="S96" s="161">
        <f>+CQ20</f>
        <v>0</v>
      </c>
      <c r="T96" s="16">
        <f>+CQ21</f>
        <v>0</v>
      </c>
      <c r="U96" s="22"/>
      <c r="V96" s="22"/>
      <c r="W96" s="182">
        <f>+CQ24</f>
        <v>0</v>
      </c>
      <c r="X96" s="55">
        <f>+CQ25</f>
        <v>0</v>
      </c>
      <c r="Y96" s="166">
        <f>+CQ26</f>
        <v>0</v>
      </c>
      <c r="Z96" s="55">
        <f>+CQ27</f>
        <v>0</v>
      </c>
      <c r="AA96" s="161">
        <f>+CQ28</f>
        <v>0</v>
      </c>
      <c r="AB96" s="55">
        <f>+CQ29</f>
        <v>0</v>
      </c>
      <c r="AC96" s="198">
        <f>+CQ30</f>
        <v>0</v>
      </c>
      <c r="AD96" s="22"/>
      <c r="AE96" s="22"/>
      <c r="AF96" s="182">
        <f>+CQ33</f>
        <v>0</v>
      </c>
      <c r="AG96" s="16">
        <f>+CQ34</f>
        <v>0</v>
      </c>
      <c r="AH96" s="22"/>
      <c r="AI96" s="22"/>
      <c r="AJ96" s="182">
        <f>+CQ37</f>
        <v>0</v>
      </c>
      <c r="AK96" s="55">
        <f>+CQ38</f>
        <v>0</v>
      </c>
      <c r="AL96" s="166">
        <f>+CQ39</f>
        <v>0</v>
      </c>
      <c r="AM96" s="55">
        <f>+CQ40</f>
        <v>0</v>
      </c>
      <c r="AN96" s="161">
        <f>+CQ41</f>
        <v>0</v>
      </c>
      <c r="AO96" s="55">
        <f>+CQ42</f>
        <v>0</v>
      </c>
      <c r="AP96" s="207">
        <f>+CQ43</f>
        <v>0</v>
      </c>
      <c r="AQ96" s="150">
        <f>+CQ44</f>
        <v>0</v>
      </c>
      <c r="AR96" s="209">
        <f>+CQ45</f>
        <v>0</v>
      </c>
      <c r="AS96" s="150">
        <f>+CQ46</f>
        <v>0</v>
      </c>
      <c r="AT96" s="211">
        <f>+CQ47</f>
        <v>0</v>
      </c>
      <c r="AU96" s="150">
        <f>+CQ48</f>
        <v>0</v>
      </c>
      <c r="AV96" s="201">
        <f>+CQ49</f>
        <v>0</v>
      </c>
      <c r="AW96" s="22"/>
      <c r="AX96" s="22"/>
      <c r="AY96" s="270">
        <f>+CQ52</f>
        <v>0</v>
      </c>
      <c r="AZ96" s="22"/>
      <c r="BA96" s="182">
        <f>+CQ54</f>
        <v>0</v>
      </c>
      <c r="BB96" s="55">
        <f>+CQ55</f>
        <v>0</v>
      </c>
      <c r="BC96" s="166">
        <f>+CO57</f>
        <v>0</v>
      </c>
      <c r="BD96" s="55">
        <f>+CQ57</f>
        <v>0</v>
      </c>
      <c r="BE96" s="161">
        <f>+CQ58</f>
        <v>0</v>
      </c>
      <c r="BF96" s="55">
        <f>+CQ59</f>
        <v>0</v>
      </c>
      <c r="BG96" s="207">
        <f>+CQ60</f>
        <v>0</v>
      </c>
      <c r="BH96" s="151">
        <f>+CQ61</f>
        <v>0</v>
      </c>
      <c r="BI96" s="22"/>
      <c r="BJ96" s="22"/>
      <c r="BK96" s="15">
        <f>COUNTIFS(SEGUIMIENTO!$Z$23:$Z$122,"8",SEGUIMIENTO!$AA$23:$AA$122,"JAC")</f>
        <v>0</v>
      </c>
      <c r="BL96" s="55">
        <f>COUNTIFS(SEGUIMIENTO!$Z$23:$Z$122,"8",SEGUIMIENTO!$AA$23:$AA$122,"JAL")</f>
        <v>0</v>
      </c>
      <c r="BM96" s="55">
        <f>COUNTIFS(SEGUIMIENTO!$Z$23:$Z$122,"8",SEGUIMIENTO!$AA$23:$AA$122,"AMB")</f>
        <v>0</v>
      </c>
      <c r="BN96" s="55">
        <f>COUNTIFS(SEGUIMIENTO!$Z$23:$Z$122,"8",SEGUIMIENTO!$AA$23:$AA$122,"DDHH")</f>
        <v>0</v>
      </c>
      <c r="BO96" s="55">
        <f>COUNTIFS(SEGUIMIENTO!$Z$23:$Z$122,"8",SEGUIMIENTO!$AA$23:$AA$122,"SIND")</f>
        <v>0</v>
      </c>
      <c r="BP96" s="55">
        <f>COUNTIFS(SEGUIMIENTO!$Z$23:$Z$122,"8",SEGUIMIENTO!$AA$23:$AA$122,"REL")</f>
        <v>0</v>
      </c>
      <c r="BQ96" s="55">
        <f>COUNTIFS(SEGUIMIENTO!$Z$23:$Z$122,"8",SEGUIMIENTO!$AA$23:$AA$122,"OTR")</f>
        <v>0</v>
      </c>
      <c r="BR96" s="16">
        <f>COUNTIFS(SEGUIMIENTO!$Z$23:$Z$122,"8",SEGUIMIENTO!$AA$23:$AA$122,"N/A")</f>
        <v>0</v>
      </c>
      <c r="BS96" s="22"/>
      <c r="BT96" s="22"/>
      <c r="BU96" s="15">
        <f>COUNTIFS(SEGUIMIENTO!$Z$23:$Z$122,"8",SEGUIMIENTO!$AB$23:$AB$122,"RUR")</f>
        <v>0</v>
      </c>
      <c r="BV96" s="16">
        <f>COUNTIFS(SEGUIMIENTO!$Z$23:$Z$122,"8",SEGUIMIENTO!$AB$23:$AB$122,"URB")</f>
        <v>0</v>
      </c>
      <c r="BW96" s="22"/>
      <c r="BX96" s="22"/>
      <c r="BY96" s="15">
        <f>COUNTIFS(SEGUIMIENTO!$Z$23:$Z$122,"8",SEGUIMIENTO!$AD$23:$AD$122,"1")</f>
        <v>0</v>
      </c>
      <c r="BZ96" s="55">
        <f>COUNTIFS(SEGUIMIENTO!$Z$23:$Z$122,"8",SEGUIMIENTO!$AD$23:$AD$122,"2")</f>
        <v>0</v>
      </c>
      <c r="CA96" s="55">
        <f>COUNTIFS(SEGUIMIENTO!$Z$23:$Z$122,"8",SEGUIMIENTO!$AD$23:$AD$122,"3")</f>
        <v>0</v>
      </c>
      <c r="CB96" s="55">
        <f>COUNTIFS(SEGUIMIENTO!$Z$23:$Z$122,"8",SEGUIMIENTO!$AD$23:$AD$122,"4")</f>
        <v>0</v>
      </c>
      <c r="CC96" s="55">
        <f>COUNTIFS(SEGUIMIENTO!$Z$23:$Z$122,"8",SEGUIMIENTO!$AD$23:$AD$122,"5")</f>
        <v>0</v>
      </c>
      <c r="CD96" s="55">
        <f>COUNTIFS(SEGUIMIENTO!$Z$23:$Z$122,"8",SEGUIMIENTO!$AD$23:$AD$122,"6")</f>
        <v>0</v>
      </c>
      <c r="CE96" s="55">
        <f>COUNTIFS(SEGUIMIENTO!$Z$23:$Z$122,"8",SEGUIMIENTO!$AD$23:$AD$122,"7")</f>
        <v>0</v>
      </c>
      <c r="CF96" s="55">
        <f>COUNTIFS(SEGUIMIENTO!$Z$23:$Z$122,"8",SEGUIMIENTO!$AD$23:$AD$122,"8")</f>
        <v>0</v>
      </c>
      <c r="CG96" s="16">
        <f>COUNTIFS(SEGUIMIENTO!$Z$23:$Z$122,"8",SEGUIMIENTO!$AD$23:$AD$122,"9")</f>
        <v>0</v>
      </c>
      <c r="CH96" s="475"/>
      <c r="CI96" s="9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284"/>
      <c r="DB96" s="5"/>
      <c r="DC96" s="5"/>
      <c r="DD96" s="5"/>
      <c r="DE96" s="5"/>
      <c r="DF96" s="5"/>
      <c r="DG96" s="5"/>
      <c r="DH96" s="5"/>
      <c r="DI96" s="5"/>
      <c r="DJ96" s="5"/>
      <c r="DK96" s="10"/>
      <c r="DL96" s="5"/>
      <c r="DM96" s="5"/>
      <c r="DN96" s="5"/>
      <c r="DO96" s="5"/>
      <c r="DP96" s="5"/>
      <c r="DQ96" s="5"/>
      <c r="DR96" s="5"/>
      <c r="DS96" s="5"/>
      <c r="EJ96" s="147"/>
    </row>
    <row r="97" spans="2:140" s="11" customFormat="1" ht="12.45" customHeight="1" x14ac:dyDescent="0.2">
      <c r="B97" s="112"/>
      <c r="C97" s="115"/>
      <c r="D97" s="320" t="s">
        <v>136</v>
      </c>
      <c r="E97" s="323"/>
      <c r="F97" s="323"/>
      <c r="G97" s="323"/>
      <c r="H97" s="323"/>
      <c r="I97" s="323"/>
      <c r="J97" s="323"/>
      <c r="K97" s="323"/>
      <c r="L97" s="323"/>
      <c r="M97" s="199">
        <f>COUNTIF(SEGUIMIENTO!Z$23:Z$122,"9")</f>
        <v>0</v>
      </c>
      <c r="N97" s="22"/>
      <c r="O97" s="182">
        <f>+CR16</f>
        <v>0</v>
      </c>
      <c r="P97" s="55">
        <f>+CR17</f>
        <v>0</v>
      </c>
      <c r="Q97" s="166">
        <f>+CR18</f>
        <v>0</v>
      </c>
      <c r="R97" s="55">
        <f>+CR19</f>
        <v>0</v>
      </c>
      <c r="S97" s="161">
        <f>+CR20</f>
        <v>0</v>
      </c>
      <c r="T97" s="16">
        <f>+CR21</f>
        <v>0</v>
      </c>
      <c r="U97" s="22"/>
      <c r="V97" s="22"/>
      <c r="W97" s="182">
        <f>+CR24</f>
        <v>0</v>
      </c>
      <c r="X97" s="55">
        <f>+CR25</f>
        <v>0</v>
      </c>
      <c r="Y97" s="166">
        <f>+CR26</f>
        <v>0</v>
      </c>
      <c r="Z97" s="55">
        <f>+CR27</f>
        <v>0</v>
      </c>
      <c r="AA97" s="161">
        <f>+CR28</f>
        <v>0</v>
      </c>
      <c r="AB97" s="55">
        <f>+CR29</f>
        <v>0</v>
      </c>
      <c r="AC97" s="198">
        <f>+CR30</f>
        <v>0</v>
      </c>
      <c r="AD97" s="22"/>
      <c r="AE97" s="22"/>
      <c r="AF97" s="182">
        <f>+CR33</f>
        <v>0</v>
      </c>
      <c r="AG97" s="16">
        <f>+CR34</f>
        <v>0</v>
      </c>
      <c r="AH97" s="22"/>
      <c r="AI97" s="22"/>
      <c r="AJ97" s="182">
        <f>+CR37</f>
        <v>0</v>
      </c>
      <c r="AK97" s="55">
        <f>+CR38</f>
        <v>0</v>
      </c>
      <c r="AL97" s="166">
        <f>+CR39</f>
        <v>0</v>
      </c>
      <c r="AM97" s="55">
        <f>+CR40</f>
        <v>0</v>
      </c>
      <c r="AN97" s="161">
        <f>+CR41</f>
        <v>0</v>
      </c>
      <c r="AO97" s="55">
        <f>+CR42</f>
        <v>0</v>
      </c>
      <c r="AP97" s="207">
        <f>+CR43</f>
        <v>0</v>
      </c>
      <c r="AQ97" s="150">
        <f>+CR44</f>
        <v>0</v>
      </c>
      <c r="AR97" s="209">
        <f>+CR45</f>
        <v>0</v>
      </c>
      <c r="AS97" s="150">
        <f>+CR46</f>
        <v>0</v>
      </c>
      <c r="AT97" s="211">
        <f>+CR47</f>
        <v>0</v>
      </c>
      <c r="AU97" s="150">
        <f>+CR48</f>
        <v>0</v>
      </c>
      <c r="AV97" s="201">
        <f>+CR49</f>
        <v>0</v>
      </c>
      <c r="AW97" s="22"/>
      <c r="AX97" s="22"/>
      <c r="AY97" s="270">
        <f>+CR52</f>
        <v>0</v>
      </c>
      <c r="AZ97" s="22"/>
      <c r="BA97" s="182">
        <f>+CR54</f>
        <v>0</v>
      </c>
      <c r="BB97" s="55">
        <f>+CR55</f>
        <v>0</v>
      </c>
      <c r="BC97" s="166">
        <f>+CR56</f>
        <v>0</v>
      </c>
      <c r="BD97" s="55">
        <f>+CR57</f>
        <v>0</v>
      </c>
      <c r="BE97" s="161">
        <f>+CR58</f>
        <v>0</v>
      </c>
      <c r="BF97" s="55">
        <f>+CR59</f>
        <v>0</v>
      </c>
      <c r="BG97" s="207">
        <f>+CR60</f>
        <v>0</v>
      </c>
      <c r="BH97" s="151">
        <f>+CR61</f>
        <v>0</v>
      </c>
      <c r="BI97" s="22"/>
      <c r="BJ97" s="22"/>
      <c r="BK97" s="208">
        <f>COUNTIFS(SEGUIMIENTO!$Z$23:$Z$122,"9",SEGUIMIENTO!$AA$23:$AA$122,"JAC")</f>
        <v>0</v>
      </c>
      <c r="BL97" s="209">
        <f>COUNTIFS(SEGUIMIENTO!$Z$23:$Z$122,"9",SEGUIMIENTO!$AA$23:$AA$122,"JAL")</f>
        <v>0</v>
      </c>
      <c r="BM97" s="209">
        <f>COUNTIFS(SEGUIMIENTO!$Z$23:$Z$122,"9",SEGUIMIENTO!$AA$23:$AA$122,"AMB")</f>
        <v>0</v>
      </c>
      <c r="BN97" s="209">
        <f>COUNTIFS(SEGUIMIENTO!$Z$23:$Z$122,"9",SEGUIMIENTO!$AA$23:$AA$122,"DDHH")</f>
        <v>0</v>
      </c>
      <c r="BO97" s="209">
        <f>COUNTIFS(SEGUIMIENTO!$Z$23:$Z$122,"9",SEGUIMIENTO!$AA$23:$AA$122,"SIND")</f>
        <v>0</v>
      </c>
      <c r="BP97" s="209">
        <f>COUNTIFS(SEGUIMIENTO!$Z$23:$Z$122,"9",SEGUIMIENTO!$AA$23:$AA$122,"REL")</f>
        <v>0</v>
      </c>
      <c r="BQ97" s="209">
        <f>COUNTIFS(SEGUIMIENTO!$Z$23:$Z$122,"9",SEGUIMIENTO!$AA$23:$AA$122,"OTR")</f>
        <v>0</v>
      </c>
      <c r="BR97" s="199">
        <f>COUNTIFS(SEGUIMIENTO!$Z$23:$Z$122,"9",SEGUIMIENTO!$AA$23:$AA$122,"N/A")</f>
        <v>0</v>
      </c>
      <c r="BS97" s="22"/>
      <c r="BT97" s="22"/>
      <c r="BU97" s="208">
        <f>COUNTIFS(SEGUIMIENTO!$Z$23:$Z$122,"9",SEGUIMIENTO!$AB$23:$AB$122,"RUR")</f>
        <v>0</v>
      </c>
      <c r="BV97" s="199">
        <f>COUNTIFS(SEGUIMIENTO!$Z$23:$Z$122,"9",SEGUIMIENTO!$AB$23:$AB$122,"URB")</f>
        <v>0</v>
      </c>
      <c r="BW97" s="22"/>
      <c r="BX97" s="22"/>
      <c r="BY97" s="208">
        <f>COUNTIFS(SEGUIMIENTO!$Z$23:$Z$122,"9",SEGUIMIENTO!$AD$23:$AD$122,"1")</f>
        <v>0</v>
      </c>
      <c r="BZ97" s="209">
        <f>COUNTIFS(SEGUIMIENTO!$Z$23:$Z$122,"9",SEGUIMIENTO!$AD$23:$AD$122,"2")</f>
        <v>0</v>
      </c>
      <c r="CA97" s="209">
        <f>COUNTIFS(SEGUIMIENTO!$Z$23:$Z$122,"9",SEGUIMIENTO!$AD$23:$AD$122,"3")</f>
        <v>0</v>
      </c>
      <c r="CB97" s="209">
        <f>COUNTIFS(SEGUIMIENTO!$Z$23:$Z$122,"9",SEGUIMIENTO!$AD$23:$AD$122,"4")</f>
        <v>0</v>
      </c>
      <c r="CC97" s="209">
        <f>COUNTIFS(SEGUIMIENTO!$Z$23:$Z$122,"9",SEGUIMIENTO!$AD$23:$AD$122,"5")</f>
        <v>0</v>
      </c>
      <c r="CD97" s="209">
        <f>COUNTIFS(SEGUIMIENTO!$Z$23:$Z$122,"9",SEGUIMIENTO!$AD$23:$AD$122,"6")</f>
        <v>0</v>
      </c>
      <c r="CE97" s="209">
        <f>COUNTIFS(SEGUIMIENTO!$Z$23:$Z$122,"9",SEGUIMIENTO!$AD$23:$AD$122,"7")</f>
        <v>0</v>
      </c>
      <c r="CF97" s="209">
        <f>COUNTIFS(SEGUIMIENTO!$Z$23:$Z$122,"9",SEGUIMIENTO!$AD$23:$AD$122,"8")</f>
        <v>0</v>
      </c>
      <c r="CG97" s="199">
        <f>COUNTIFS(SEGUIMIENTO!$Z$23:$Z$122,"9",SEGUIMIENTO!$AD$23:$AD$122,"9")</f>
        <v>0</v>
      </c>
      <c r="CH97" s="475"/>
      <c r="CI97" s="9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284"/>
      <c r="DB97" s="5"/>
      <c r="DC97" s="5"/>
      <c r="DD97" s="5"/>
      <c r="DE97" s="5"/>
      <c r="DF97" s="5"/>
      <c r="DG97" s="5"/>
      <c r="DH97" s="5"/>
      <c r="DI97" s="5"/>
      <c r="DJ97" s="5"/>
      <c r="DK97" s="10"/>
      <c r="DL97" s="5"/>
      <c r="DM97" s="5"/>
      <c r="DN97" s="5"/>
      <c r="DO97" s="5"/>
      <c r="DP97" s="5"/>
      <c r="DQ97" s="5"/>
      <c r="DR97" s="5"/>
      <c r="DS97" s="5"/>
    </row>
    <row r="98" spans="2:140" s="11" customFormat="1" ht="19.95" customHeight="1" x14ac:dyDescent="0.2">
      <c r="B98" s="112"/>
      <c r="C98" s="115"/>
      <c r="D98" s="295" t="s">
        <v>143</v>
      </c>
      <c r="E98" s="359"/>
      <c r="F98" s="359"/>
      <c r="G98" s="359"/>
      <c r="H98" s="359"/>
      <c r="I98" s="359"/>
      <c r="J98" s="359"/>
      <c r="K98" s="359"/>
      <c r="L98" s="359"/>
      <c r="M98" s="16">
        <f>COUNTIF(SEGUIMIENTO!Z$23:Z$122,"10")</f>
        <v>0</v>
      </c>
      <c r="N98" s="22"/>
      <c r="O98" s="182">
        <f>+CS16</f>
        <v>0</v>
      </c>
      <c r="P98" s="55">
        <f>+CS17</f>
        <v>0</v>
      </c>
      <c r="Q98" s="166">
        <f>+CS18</f>
        <v>0</v>
      </c>
      <c r="R98" s="55">
        <f>+CS19</f>
        <v>0</v>
      </c>
      <c r="S98" s="161">
        <f>+CS20</f>
        <v>0</v>
      </c>
      <c r="T98" s="16">
        <f>+CS21</f>
        <v>0</v>
      </c>
      <c r="U98" s="22"/>
      <c r="V98" s="22"/>
      <c r="W98" s="182">
        <f>+CS24</f>
        <v>0</v>
      </c>
      <c r="X98" s="55">
        <f>+CS25</f>
        <v>0</v>
      </c>
      <c r="Y98" s="166">
        <f>+CS26</f>
        <v>0</v>
      </c>
      <c r="Z98" s="55">
        <f>+CS27</f>
        <v>0</v>
      </c>
      <c r="AA98" s="161">
        <f>+CS28</f>
        <v>0</v>
      </c>
      <c r="AB98" s="55">
        <f>+CS29</f>
        <v>0</v>
      </c>
      <c r="AC98" s="198">
        <f>+CS30</f>
        <v>0</v>
      </c>
      <c r="AD98" s="22"/>
      <c r="AE98" s="22"/>
      <c r="AF98" s="182">
        <f>+CS33</f>
        <v>0</v>
      </c>
      <c r="AG98" s="16">
        <f>+CS34</f>
        <v>0</v>
      </c>
      <c r="AH98" s="22"/>
      <c r="AI98" s="22"/>
      <c r="AJ98" s="182">
        <f>+CS37</f>
        <v>0</v>
      </c>
      <c r="AK98" s="55">
        <f>+CS38</f>
        <v>0</v>
      </c>
      <c r="AL98" s="166">
        <f>+CS39</f>
        <v>0</v>
      </c>
      <c r="AM98" s="55">
        <f>+CS40</f>
        <v>0</v>
      </c>
      <c r="AN98" s="161">
        <f>+CS41</f>
        <v>0</v>
      </c>
      <c r="AO98" s="55">
        <f>+CS42</f>
        <v>0</v>
      </c>
      <c r="AP98" s="207">
        <f>+CS43</f>
        <v>0</v>
      </c>
      <c r="AQ98" s="150">
        <f>+CS44</f>
        <v>0</v>
      </c>
      <c r="AR98" s="209">
        <f>+CS45</f>
        <v>0</v>
      </c>
      <c r="AS98" s="150">
        <f>+CS46</f>
        <v>0</v>
      </c>
      <c r="AT98" s="211">
        <f>+CS47</f>
        <v>0</v>
      </c>
      <c r="AU98" s="150">
        <f>+CS48</f>
        <v>0</v>
      </c>
      <c r="AV98" s="201">
        <f>+CS49</f>
        <v>0</v>
      </c>
      <c r="AW98" s="22"/>
      <c r="AX98" s="22"/>
      <c r="AY98" s="270">
        <f>+CS52</f>
        <v>0</v>
      </c>
      <c r="AZ98" s="22"/>
      <c r="BA98" s="182">
        <f>+CS54</f>
        <v>0</v>
      </c>
      <c r="BB98" s="55">
        <f>+CS55</f>
        <v>0</v>
      </c>
      <c r="BC98" s="166">
        <f>+CS56</f>
        <v>0</v>
      </c>
      <c r="BD98" s="55">
        <f>+CS57</f>
        <v>0</v>
      </c>
      <c r="BE98" s="161">
        <f>+CS58</f>
        <v>0</v>
      </c>
      <c r="BF98" s="55">
        <f>+CS59</f>
        <v>0</v>
      </c>
      <c r="BG98" s="207">
        <f>+CS60</f>
        <v>0</v>
      </c>
      <c r="BH98" s="151">
        <f>+CS61</f>
        <v>0</v>
      </c>
      <c r="BI98" s="22"/>
      <c r="BJ98" s="22"/>
      <c r="BK98" s="235">
        <f>COUNTIFS(SEGUIMIENTO!$Z$23:$Z$122,"10",SEGUIMIENTO!$AA$23:$AA$122,"JAC")</f>
        <v>0</v>
      </c>
      <c r="BL98" s="55">
        <f>COUNTIFS(SEGUIMIENTO!$Z$23:$Z$122,"10",SEGUIMIENTO!$AA$23:$AA$122,"JAL")</f>
        <v>0</v>
      </c>
      <c r="BM98" s="241">
        <f>COUNTIFS(SEGUIMIENTO!$Z$23:$Z$122,"10",SEGUIMIENTO!$AA$23:$AA$122,"AMB")</f>
        <v>0</v>
      </c>
      <c r="BN98" s="241">
        <f>COUNTIFS(SEGUIMIENTO!$Z$23:$Z$122,"10",SEGUIMIENTO!$AA$23:$AA$122,"DDHH")</f>
        <v>0</v>
      </c>
      <c r="BO98" s="241">
        <f>COUNTIFS(SEGUIMIENTO!$Z$23:$Z$122,"10",SEGUIMIENTO!$AA$23:$AA$122,"SIND")</f>
        <v>0</v>
      </c>
      <c r="BP98" s="241">
        <f>COUNTIFS(SEGUIMIENTO!$Z$23:$Z$122,"10",SEGUIMIENTO!$AA$23:$AA$122,"REL")</f>
        <v>0</v>
      </c>
      <c r="BQ98" s="241">
        <f>COUNTIFS(SEGUIMIENTO!$Z$23:$Z$122,"10",SEGUIMIENTO!$AA$23:$AA$122,"OTR")</f>
        <v>0</v>
      </c>
      <c r="BR98" s="250">
        <f>COUNTIFS(SEGUIMIENTO!$Z$23:$Z$122,"10",SEGUIMIENTO!$AA$23:$AA$122,"N/A")</f>
        <v>0</v>
      </c>
      <c r="BS98" s="22"/>
      <c r="BT98" s="22"/>
      <c r="BU98" s="235">
        <f>COUNTIFS(SEGUIMIENTO!$Z$23:$Z$122,"10",SEGUIMIENTO!$AB$23:$AB$122,"RUR")</f>
        <v>0</v>
      </c>
      <c r="BV98" s="16">
        <f>COUNTIFS(SEGUIMIENTO!$Z$23:$Z$122,"10",SEGUIMIENTO!$AB$23:$AB$122,"URB")</f>
        <v>0</v>
      </c>
      <c r="BW98" s="22"/>
      <c r="BX98" s="22"/>
      <c r="BY98" s="235">
        <f>COUNTIFS(SEGUIMIENTO!$Z$23:$Z$122,"10",SEGUIMIENTO!$AD$23:$AD$122,"1")</f>
        <v>0</v>
      </c>
      <c r="BZ98" s="55">
        <f>COUNTIFS(SEGUIMIENTO!$Z$23:$Z$122,"10",SEGUIMIENTO!$AD$23:$AD$122,"2")</f>
        <v>0</v>
      </c>
      <c r="CA98" s="241">
        <f>COUNTIFS(SEGUIMIENTO!$Z$23:$Z$122,"10",SEGUIMIENTO!$AD$23:$AD$122,"3")</f>
        <v>0</v>
      </c>
      <c r="CB98" s="241">
        <f>COUNTIFS(SEGUIMIENTO!$Z$23:$Z$122,"10",SEGUIMIENTO!$AD$23:$AD$122,"4")</f>
        <v>0</v>
      </c>
      <c r="CC98" s="241">
        <f>COUNTIFS(SEGUIMIENTO!$Z$23:$Z$122,"10",SEGUIMIENTO!$AD$23:$AD$122,"5")</f>
        <v>0</v>
      </c>
      <c r="CD98" s="241">
        <f>COUNTIFS(SEGUIMIENTO!$Z$23:$Z$122,"10",SEGUIMIENTO!$AD$23:$AD$122,"6")</f>
        <v>0</v>
      </c>
      <c r="CE98" s="241">
        <f>COUNTIFS(SEGUIMIENTO!$Z$23:$Z$122,"10",SEGUIMIENTO!$AD$23:$AD$122,"7")</f>
        <v>0</v>
      </c>
      <c r="CF98" s="241">
        <f>COUNTIFS(SEGUIMIENTO!$Z$23:$Z$122,"10",SEGUIMIENTO!$AD$23:$AD$122,"8")</f>
        <v>0</v>
      </c>
      <c r="CG98" s="250">
        <f>COUNTIFS(SEGUIMIENTO!$Z$23:$Z$122,"10",SEGUIMIENTO!$AD$23:$AD$122,"9")</f>
        <v>0</v>
      </c>
      <c r="CH98" s="475"/>
      <c r="CI98" s="9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  <c r="CW98" s="155"/>
      <c r="CX98" s="155"/>
      <c r="CY98" s="155"/>
      <c r="CZ98" s="155"/>
      <c r="DA98" s="284"/>
      <c r="DB98" s="5"/>
      <c r="DC98" s="5"/>
      <c r="DD98" s="5"/>
      <c r="DE98" s="5"/>
      <c r="DF98" s="5"/>
      <c r="DG98" s="5"/>
      <c r="DH98" s="5"/>
      <c r="DI98" s="5"/>
      <c r="DJ98" s="5"/>
      <c r="DK98" s="10"/>
      <c r="DL98" s="5"/>
      <c r="DM98" s="5"/>
      <c r="DN98" s="5"/>
      <c r="DO98" s="5"/>
      <c r="DP98" s="5"/>
      <c r="DQ98" s="5"/>
      <c r="DR98" s="5"/>
      <c r="DS98" s="5"/>
    </row>
    <row r="99" spans="2:140" s="11" customFormat="1" ht="12.45" customHeight="1" x14ac:dyDescent="0.2">
      <c r="B99" s="112"/>
      <c r="C99" s="115"/>
      <c r="D99" s="330" t="s">
        <v>137</v>
      </c>
      <c r="E99" s="360"/>
      <c r="F99" s="360"/>
      <c r="G99" s="360"/>
      <c r="H99" s="360"/>
      <c r="I99" s="360"/>
      <c r="J99" s="360"/>
      <c r="K99" s="360"/>
      <c r="L99" s="360"/>
      <c r="M99" s="200">
        <f>COUNTIF(SEGUIMIENTO!Z$23:Z$122,"11")</f>
        <v>0</v>
      </c>
      <c r="N99" s="22"/>
      <c r="O99" s="182">
        <f>+CT16</f>
        <v>0</v>
      </c>
      <c r="P99" s="55">
        <f>+CT17</f>
        <v>0</v>
      </c>
      <c r="Q99" s="166">
        <f>+CT18</f>
        <v>0</v>
      </c>
      <c r="R99" s="55">
        <f>+CT19</f>
        <v>0</v>
      </c>
      <c r="S99" s="161">
        <f>+CT20</f>
        <v>0</v>
      </c>
      <c r="T99" s="16">
        <f>+CT21</f>
        <v>0</v>
      </c>
      <c r="U99" s="22"/>
      <c r="V99" s="22"/>
      <c r="W99" s="182">
        <f>+CT24</f>
        <v>0</v>
      </c>
      <c r="X99" s="55">
        <f>+CT25</f>
        <v>0</v>
      </c>
      <c r="Y99" s="166">
        <f>+CT26</f>
        <v>0</v>
      </c>
      <c r="Z99" s="55">
        <f>+CT27</f>
        <v>0</v>
      </c>
      <c r="AA99" s="161">
        <f>+CT28</f>
        <v>0</v>
      </c>
      <c r="AB99" s="55">
        <f>+CT29</f>
        <v>0</v>
      </c>
      <c r="AC99" s="198">
        <f>+CT30</f>
        <v>0</v>
      </c>
      <c r="AD99" s="22"/>
      <c r="AE99" s="22"/>
      <c r="AF99" s="182">
        <f>+CT33</f>
        <v>0</v>
      </c>
      <c r="AG99" s="16">
        <f>+CT34</f>
        <v>0</v>
      </c>
      <c r="AH99" s="22"/>
      <c r="AI99" s="22"/>
      <c r="AJ99" s="182">
        <f>+CT37</f>
        <v>0</v>
      </c>
      <c r="AK99" s="55">
        <f>+CT38</f>
        <v>0</v>
      </c>
      <c r="AL99" s="166">
        <f>+CT39</f>
        <v>0</v>
      </c>
      <c r="AM99" s="55">
        <f>+CT40</f>
        <v>0</v>
      </c>
      <c r="AN99" s="161">
        <f>+CT41</f>
        <v>0</v>
      </c>
      <c r="AO99" s="55">
        <f>+CT42</f>
        <v>0</v>
      </c>
      <c r="AP99" s="207">
        <f>+CT43</f>
        <v>0</v>
      </c>
      <c r="AQ99" s="150">
        <f>+CT44</f>
        <v>0</v>
      </c>
      <c r="AR99" s="209">
        <f>+CT45</f>
        <v>0</v>
      </c>
      <c r="AS99" s="150">
        <f>+CT46</f>
        <v>0</v>
      </c>
      <c r="AT99" s="211">
        <f>+CT47</f>
        <v>0</v>
      </c>
      <c r="AU99" s="150">
        <f>+CT48</f>
        <v>0</v>
      </c>
      <c r="AV99" s="201">
        <f>+CT49</f>
        <v>0</v>
      </c>
      <c r="AW99" s="22"/>
      <c r="AX99" s="22"/>
      <c r="AY99" s="270">
        <f>+CT52</f>
        <v>0</v>
      </c>
      <c r="AZ99" s="22"/>
      <c r="BA99" s="182">
        <f>+CT54</f>
        <v>0</v>
      </c>
      <c r="BB99" s="55">
        <f>+CT55</f>
        <v>0</v>
      </c>
      <c r="BC99" s="166">
        <f>+CT56</f>
        <v>0</v>
      </c>
      <c r="BD99" s="55">
        <f>+CT57</f>
        <v>0</v>
      </c>
      <c r="BE99" s="161">
        <f>+CT58</f>
        <v>0</v>
      </c>
      <c r="BF99" s="55">
        <f>+CT59</f>
        <v>0</v>
      </c>
      <c r="BG99" s="207">
        <f>+CT60</f>
        <v>0</v>
      </c>
      <c r="BH99" s="151">
        <f>+CT61</f>
        <v>0</v>
      </c>
      <c r="BI99" s="22"/>
      <c r="BJ99" s="22"/>
      <c r="BK99" s="236">
        <f>COUNTIFS(SEGUIMIENTO!$Z$23:$Z$122,"11",SEGUIMIENTO!$AA$23:$AA$122,"JAC")</f>
        <v>0</v>
      </c>
      <c r="BL99" s="211">
        <f>COUNTIFS(SEGUIMIENTO!$Z$23:$Z$122,"11",SEGUIMIENTO!$AA$23:$AA$122,"JAL")</f>
        <v>0</v>
      </c>
      <c r="BM99" s="242">
        <f>COUNTIFS(SEGUIMIENTO!$Z$23:$Z$122,"11",SEGUIMIENTO!$AA$23:$AA$122,"AMB")</f>
        <v>0</v>
      </c>
      <c r="BN99" s="242">
        <f>COUNTIFS(SEGUIMIENTO!$Z$23:$Z$122,"11",SEGUIMIENTO!$AA$23:$AA$122,"DDHH")</f>
        <v>0</v>
      </c>
      <c r="BO99" s="242">
        <f>COUNTIFS(SEGUIMIENTO!$Z$23:$Z$122,"11",SEGUIMIENTO!$AA$23:$AA$122,"SIND")</f>
        <v>0</v>
      </c>
      <c r="BP99" s="242">
        <f>COUNTIFS(SEGUIMIENTO!$Z$23:$Z$122,"11",SEGUIMIENTO!$AA$23:$AA$122,"REL")</f>
        <v>0</v>
      </c>
      <c r="BQ99" s="242">
        <f>COUNTIFS(SEGUIMIENTO!$Z$23:$Z$122,"11",SEGUIMIENTO!$AA$23:$AA$122,"OTR")</f>
        <v>0</v>
      </c>
      <c r="BR99" s="251">
        <f>COUNTIFS(SEGUIMIENTO!$Z$23:$Z$122,"11",SEGUIMIENTO!$AA$23:$AA$122,"N/A")</f>
        <v>0</v>
      </c>
      <c r="BS99" s="22"/>
      <c r="BT99" s="22"/>
      <c r="BU99" s="236">
        <f>COUNTIFS(SEGUIMIENTO!$Z$23:$Z$122,"11",SEGUIMIENTO!$AB$23:$AB$122,"RUR")</f>
        <v>0</v>
      </c>
      <c r="BV99" s="200">
        <f>COUNTIFS(SEGUIMIENTO!$Z$23:$Z$122,"11",SEGUIMIENTO!$AB$23:$AB$122,"URB")</f>
        <v>0</v>
      </c>
      <c r="BW99" s="22"/>
      <c r="BX99" s="22"/>
      <c r="BY99" s="236">
        <f>COUNTIFS(SEGUIMIENTO!$Z$23:$Z$122,"11",SEGUIMIENTO!$AD$23:$AD$122,"1")</f>
        <v>0</v>
      </c>
      <c r="BZ99" s="211">
        <f>COUNTIFS(SEGUIMIENTO!$Z$23:$Z$122,"11",SEGUIMIENTO!$AD$23:$AD$122,"2")</f>
        <v>0</v>
      </c>
      <c r="CA99" s="242">
        <f>COUNTIFS(SEGUIMIENTO!$Z$23:$Z$122,"11",SEGUIMIENTO!$AD$23:$AD$122,"3")</f>
        <v>0</v>
      </c>
      <c r="CB99" s="242">
        <f>COUNTIFS(SEGUIMIENTO!$Z$23:$Z$122,"11",SEGUIMIENTO!$AD$23:$AD$122,"4")</f>
        <v>0</v>
      </c>
      <c r="CC99" s="242">
        <f>COUNTIFS(SEGUIMIENTO!$Z$23:$Z$122,"11",SEGUIMIENTO!$AD$23:$AD$122,"5")</f>
        <v>0</v>
      </c>
      <c r="CD99" s="242">
        <f>COUNTIFS(SEGUIMIENTO!$Z$23:$Z$122,"11",SEGUIMIENTO!$AD$23:$AD$122,"6")</f>
        <v>0</v>
      </c>
      <c r="CE99" s="242">
        <f>COUNTIFS(SEGUIMIENTO!$Z$23:$Z$122,"11",SEGUIMIENTO!$AD$23:$AD$122,"7")</f>
        <v>0</v>
      </c>
      <c r="CF99" s="242">
        <f>COUNTIFS(SEGUIMIENTO!$Z$23:$Z$122,"11",SEGUIMIENTO!$AD$23:$AD$122,"8")</f>
        <v>0</v>
      </c>
      <c r="CG99" s="251">
        <f>COUNTIFS(SEGUIMIENTO!$Z$23:$Z$122,"11",SEGUIMIENTO!$AD$23:$AD$122,"9")</f>
        <v>0</v>
      </c>
      <c r="CH99" s="475"/>
      <c r="CI99" s="9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  <c r="CW99" s="155"/>
      <c r="CX99" s="155"/>
      <c r="CY99" s="155"/>
      <c r="CZ99" s="155"/>
      <c r="DA99" s="284"/>
      <c r="DB99" s="5"/>
      <c r="DC99" s="5"/>
      <c r="DD99" s="5"/>
      <c r="DE99" s="5"/>
      <c r="DF99" s="5"/>
      <c r="DG99" s="5"/>
      <c r="DH99" s="5"/>
      <c r="DI99" s="5"/>
      <c r="DJ99" s="5"/>
      <c r="DK99" s="10"/>
      <c r="DL99" s="5"/>
      <c r="DM99" s="5"/>
      <c r="DN99" s="5"/>
      <c r="DO99" s="5"/>
      <c r="DP99" s="5"/>
      <c r="DQ99" s="5"/>
      <c r="DR99" s="5"/>
      <c r="DS99" s="5"/>
    </row>
    <row r="100" spans="2:140" s="11" customFormat="1" ht="12.45" customHeight="1" x14ac:dyDescent="0.2">
      <c r="B100" s="112"/>
      <c r="C100" s="115"/>
      <c r="D100" s="295" t="s">
        <v>138</v>
      </c>
      <c r="E100" s="359"/>
      <c r="F100" s="359"/>
      <c r="G100" s="359"/>
      <c r="H100" s="359"/>
      <c r="I100" s="359"/>
      <c r="J100" s="359"/>
      <c r="K100" s="359"/>
      <c r="L100" s="359"/>
      <c r="M100" s="16">
        <f>COUNTIF(SEGUIMIENTO!Z$23:Z$122,"12")</f>
        <v>0</v>
      </c>
      <c r="N100" s="22"/>
      <c r="O100" s="182">
        <f>+CU16</f>
        <v>0</v>
      </c>
      <c r="P100" s="55">
        <f>+CU17</f>
        <v>0</v>
      </c>
      <c r="Q100" s="166">
        <f>+CU18</f>
        <v>0</v>
      </c>
      <c r="R100" s="55">
        <f>+CU19</f>
        <v>0</v>
      </c>
      <c r="S100" s="161">
        <f>+CU20</f>
        <v>0</v>
      </c>
      <c r="T100" s="16">
        <f>+CU21</f>
        <v>0</v>
      </c>
      <c r="U100" s="22"/>
      <c r="V100" s="22"/>
      <c r="W100" s="182">
        <f>+CU24</f>
        <v>0</v>
      </c>
      <c r="X100" s="55">
        <f>+CU25</f>
        <v>0</v>
      </c>
      <c r="Y100" s="166">
        <f>+CU26</f>
        <v>0</v>
      </c>
      <c r="Z100" s="55">
        <f>+CU27</f>
        <v>0</v>
      </c>
      <c r="AA100" s="161">
        <f>+CU28</f>
        <v>0</v>
      </c>
      <c r="AB100" s="55">
        <f>+CU29</f>
        <v>0</v>
      </c>
      <c r="AC100" s="198">
        <f>+CU30</f>
        <v>0</v>
      </c>
      <c r="AD100" s="22"/>
      <c r="AE100" s="22"/>
      <c r="AF100" s="182">
        <f>+CU33</f>
        <v>0</v>
      </c>
      <c r="AG100" s="16">
        <f>+CU34</f>
        <v>0</v>
      </c>
      <c r="AH100" s="22"/>
      <c r="AI100" s="22"/>
      <c r="AJ100" s="182">
        <f>+CU37</f>
        <v>0</v>
      </c>
      <c r="AK100" s="55">
        <f>+CU38</f>
        <v>0</v>
      </c>
      <c r="AL100" s="166">
        <f>+CU39</f>
        <v>0</v>
      </c>
      <c r="AM100" s="55">
        <f>+CU40</f>
        <v>0</v>
      </c>
      <c r="AN100" s="161">
        <f>+CU41</f>
        <v>0</v>
      </c>
      <c r="AO100" s="55">
        <f>+CU42</f>
        <v>0</v>
      </c>
      <c r="AP100" s="207">
        <f>+CU43</f>
        <v>0</v>
      </c>
      <c r="AQ100" s="150">
        <f>+CU44</f>
        <v>0</v>
      </c>
      <c r="AR100" s="209">
        <f>+CU45</f>
        <v>0</v>
      </c>
      <c r="AS100" s="150">
        <f>+CU46</f>
        <v>0</v>
      </c>
      <c r="AT100" s="211">
        <f>+CU47</f>
        <v>0</v>
      </c>
      <c r="AU100" s="150">
        <f>+CU48</f>
        <v>0</v>
      </c>
      <c r="AV100" s="201">
        <f>+CU49</f>
        <v>0</v>
      </c>
      <c r="AW100" s="22"/>
      <c r="AX100" s="22"/>
      <c r="AY100" s="270">
        <f>+CU52</f>
        <v>0</v>
      </c>
      <c r="AZ100" s="22"/>
      <c r="BA100" s="182">
        <f>+CU54</f>
        <v>0</v>
      </c>
      <c r="BB100" s="55">
        <f>+CU55</f>
        <v>0</v>
      </c>
      <c r="BC100" s="166">
        <f>+CU56</f>
        <v>0</v>
      </c>
      <c r="BD100" s="55">
        <f>+CU57</f>
        <v>0</v>
      </c>
      <c r="BE100" s="161">
        <f>+CU58</f>
        <v>0</v>
      </c>
      <c r="BF100" s="55">
        <f>+CU59</f>
        <v>0</v>
      </c>
      <c r="BG100" s="207">
        <f>+CU60</f>
        <v>0</v>
      </c>
      <c r="BH100" s="151">
        <f>+CU61</f>
        <v>0</v>
      </c>
      <c r="BI100" s="22"/>
      <c r="BJ100" s="22"/>
      <c r="BK100" s="235">
        <f>COUNTIFS(SEGUIMIENTO!$Z$23:$Z$122,"12",SEGUIMIENTO!$AA$23:$AA$122,"JAC")</f>
        <v>0</v>
      </c>
      <c r="BL100" s="55">
        <f>COUNTIFS(SEGUIMIENTO!$Z$23:$Z$122,"12",SEGUIMIENTO!$AA$23:$AA$122,"JAL")</f>
        <v>0</v>
      </c>
      <c r="BM100" s="241">
        <f>COUNTIFS(SEGUIMIENTO!$Z$23:$Z$122,"12",SEGUIMIENTO!$AA$23:$AA$122,"AMB")</f>
        <v>0</v>
      </c>
      <c r="BN100" s="241">
        <f>COUNTIFS(SEGUIMIENTO!$Z$23:$Z$122,"12",SEGUIMIENTO!$AA$23:$AA$122,"DDHH")</f>
        <v>0</v>
      </c>
      <c r="BO100" s="241">
        <f>COUNTIFS(SEGUIMIENTO!$Z$23:$Z$122,"12",SEGUIMIENTO!$AA$23:$AA$122,"SIND")</f>
        <v>0</v>
      </c>
      <c r="BP100" s="241">
        <f>COUNTIFS(SEGUIMIENTO!$Z$23:$Z$122,"12",SEGUIMIENTO!$AA$23:$AA$122,"REL")</f>
        <v>0</v>
      </c>
      <c r="BQ100" s="241">
        <f>COUNTIFS(SEGUIMIENTO!$Z$23:$Z$122,"12",SEGUIMIENTO!$AA$23:$AA$122,"OTR")</f>
        <v>0</v>
      </c>
      <c r="BR100" s="250">
        <f>COUNTIFS(SEGUIMIENTO!$Z$23:$Z$122,"12",SEGUIMIENTO!$AA$23:$AA$122,"N/A")</f>
        <v>0</v>
      </c>
      <c r="BS100" s="22"/>
      <c r="BT100" s="22"/>
      <c r="BU100" s="235">
        <f>COUNTIFS(SEGUIMIENTO!$Z$23:$Z$122,"12",SEGUIMIENTO!$AB$23:$AB$122,"RUR")</f>
        <v>0</v>
      </c>
      <c r="BV100" s="16">
        <f>COUNTIFS(SEGUIMIENTO!$Z$23:$Z$122,"12",SEGUIMIENTO!$AB$23:$AB$122,"URB")</f>
        <v>0</v>
      </c>
      <c r="BW100" s="22"/>
      <c r="BX100" s="22"/>
      <c r="BY100" s="235">
        <f>COUNTIFS(SEGUIMIENTO!$Z$23:$Z$122,"12",SEGUIMIENTO!$AD$23:$AD$122,"1")</f>
        <v>0</v>
      </c>
      <c r="BZ100" s="55">
        <f>COUNTIFS(SEGUIMIENTO!$Z$23:$Z$122,"12",SEGUIMIENTO!$AD$23:$AD$122,"2")</f>
        <v>0</v>
      </c>
      <c r="CA100" s="241">
        <f>COUNTIFS(SEGUIMIENTO!$Z$23:$Z$122,"12",SEGUIMIENTO!$AD$23:$AD$122,"3")</f>
        <v>0</v>
      </c>
      <c r="CB100" s="241">
        <f>COUNTIFS(SEGUIMIENTO!$Z$23:$Z$122,"12",SEGUIMIENTO!$AD$23:$AD$122,"4")</f>
        <v>0</v>
      </c>
      <c r="CC100" s="241">
        <f>COUNTIFS(SEGUIMIENTO!$Z$23:$Z$122,"12",SEGUIMIENTO!$AD$23:$AD$122,"5")</f>
        <v>0</v>
      </c>
      <c r="CD100" s="241">
        <f>COUNTIFS(SEGUIMIENTO!$Z$23:$Z$122,"12",SEGUIMIENTO!$AD$23:$AD$122,"6")</f>
        <v>0</v>
      </c>
      <c r="CE100" s="241">
        <f>COUNTIFS(SEGUIMIENTO!$Z$23:$Z$122,"12",SEGUIMIENTO!$AD$23:$AD$122,"7")</f>
        <v>0</v>
      </c>
      <c r="CF100" s="241">
        <f>COUNTIFS(SEGUIMIENTO!$Z$23:$Z$122,"12",SEGUIMIENTO!$AD$23:$AD$122,"8")</f>
        <v>0</v>
      </c>
      <c r="CG100" s="250">
        <f>COUNTIFS(SEGUIMIENTO!$Z$23:$Z$122,"12",SEGUIMIENTO!$AD$23:$AD$122,"9")</f>
        <v>0</v>
      </c>
      <c r="CH100" s="475"/>
      <c r="CI100" s="9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  <c r="CW100" s="155"/>
      <c r="CX100" s="155"/>
      <c r="CY100" s="155"/>
      <c r="CZ100" s="155"/>
      <c r="DA100" s="284"/>
      <c r="DB100" s="5"/>
      <c r="DC100" s="5"/>
      <c r="DD100" s="5"/>
      <c r="DE100" s="5"/>
      <c r="DF100" s="5"/>
      <c r="DG100" s="5"/>
      <c r="DH100" s="5"/>
      <c r="DI100" s="5"/>
      <c r="DJ100" s="5"/>
      <c r="DK100" s="10"/>
      <c r="DL100" s="5"/>
      <c r="DM100" s="5"/>
      <c r="DN100" s="5"/>
      <c r="DO100" s="5"/>
      <c r="DP100" s="5"/>
      <c r="DQ100" s="5"/>
      <c r="DR100" s="5"/>
      <c r="DS100" s="5"/>
    </row>
    <row r="101" spans="2:140" s="11" customFormat="1" ht="12.45" customHeight="1" x14ac:dyDescent="0.2">
      <c r="B101" s="112"/>
      <c r="C101" s="115"/>
      <c r="D101" s="331" t="s">
        <v>139</v>
      </c>
      <c r="E101" s="361"/>
      <c r="F101" s="361"/>
      <c r="G101" s="361"/>
      <c r="H101" s="361"/>
      <c r="I101" s="361"/>
      <c r="J101" s="361"/>
      <c r="K101" s="361"/>
      <c r="L101" s="361"/>
      <c r="M101" s="201">
        <f>COUNTIF(SEGUIMIENTO!Z$23:Z$122,"13")</f>
        <v>0</v>
      </c>
      <c r="N101" s="22"/>
      <c r="O101" s="182">
        <f>+CV16</f>
        <v>0</v>
      </c>
      <c r="P101" s="55">
        <f>+CV17</f>
        <v>0</v>
      </c>
      <c r="Q101" s="166">
        <f>+CV18</f>
        <v>0</v>
      </c>
      <c r="R101" s="55">
        <f>+CV19</f>
        <v>0</v>
      </c>
      <c r="S101" s="161">
        <f>+CV20</f>
        <v>0</v>
      </c>
      <c r="T101" s="16">
        <f>+CV21</f>
        <v>0</v>
      </c>
      <c r="U101" s="22"/>
      <c r="V101" s="22"/>
      <c r="W101" s="182">
        <f>+CV24</f>
        <v>0</v>
      </c>
      <c r="X101" s="55">
        <f>+CV25</f>
        <v>0</v>
      </c>
      <c r="Y101" s="166">
        <f>+CV26</f>
        <v>0</v>
      </c>
      <c r="Z101" s="55">
        <f>+CV27</f>
        <v>0</v>
      </c>
      <c r="AA101" s="161">
        <f>+CV28</f>
        <v>0</v>
      </c>
      <c r="AB101" s="55">
        <f>+CV29</f>
        <v>0</v>
      </c>
      <c r="AC101" s="198">
        <f>+CV30</f>
        <v>0</v>
      </c>
      <c r="AD101" s="22"/>
      <c r="AE101" s="22"/>
      <c r="AF101" s="182">
        <f>+CV33</f>
        <v>0</v>
      </c>
      <c r="AG101" s="16">
        <f>+CV34</f>
        <v>0</v>
      </c>
      <c r="AH101" s="22"/>
      <c r="AI101" s="22"/>
      <c r="AJ101" s="182">
        <f>+CV37</f>
        <v>0</v>
      </c>
      <c r="AK101" s="55">
        <f>+CV38</f>
        <v>0</v>
      </c>
      <c r="AL101" s="166">
        <f>+CV39</f>
        <v>0</v>
      </c>
      <c r="AM101" s="55">
        <f>+CV40</f>
        <v>0</v>
      </c>
      <c r="AN101" s="161">
        <f>+CV41</f>
        <v>0</v>
      </c>
      <c r="AO101" s="55">
        <f>+CV42</f>
        <v>0</v>
      </c>
      <c r="AP101" s="207">
        <f>+CV43</f>
        <v>0</v>
      </c>
      <c r="AQ101" s="150">
        <f>+CV44</f>
        <v>0</v>
      </c>
      <c r="AR101" s="209">
        <f>+CV45</f>
        <v>0</v>
      </c>
      <c r="AS101" s="150">
        <f>+CV46</f>
        <v>0</v>
      </c>
      <c r="AT101" s="211">
        <f>+CV47</f>
        <v>0</v>
      </c>
      <c r="AU101" s="150">
        <f>+CV48</f>
        <v>0</v>
      </c>
      <c r="AV101" s="201">
        <f>+CV49</f>
        <v>0</v>
      </c>
      <c r="AW101" s="22"/>
      <c r="AX101" s="22"/>
      <c r="AY101" s="270">
        <f>+CV52</f>
        <v>0</v>
      </c>
      <c r="AZ101" s="22"/>
      <c r="BA101" s="182">
        <f>+CV54</f>
        <v>0</v>
      </c>
      <c r="BB101" s="55">
        <f>+CV55</f>
        <v>0</v>
      </c>
      <c r="BC101" s="166">
        <f>+CV56</f>
        <v>0</v>
      </c>
      <c r="BD101" s="55">
        <f>+CV57</f>
        <v>0</v>
      </c>
      <c r="BE101" s="161">
        <f>+CV58</f>
        <v>0</v>
      </c>
      <c r="BF101" s="55">
        <f>+CV59</f>
        <v>0</v>
      </c>
      <c r="BG101" s="207">
        <f>+CV60</f>
        <v>0</v>
      </c>
      <c r="BH101" s="151">
        <f>+CV61</f>
        <v>0</v>
      </c>
      <c r="BI101" s="22"/>
      <c r="BJ101" s="22"/>
      <c r="BK101" s="237">
        <f>COUNTIFS(SEGUIMIENTO!$Z$23:$Z$122,"13",SEGUIMIENTO!$AA$23:$AA$122,"JAC")</f>
        <v>0</v>
      </c>
      <c r="BL101" s="215">
        <f>COUNTIFS(SEGUIMIENTO!$Z$23:$Z$122,"13",SEGUIMIENTO!$AA$23:$AA$122,"JAL")</f>
        <v>0</v>
      </c>
      <c r="BM101" s="243">
        <f>COUNTIFS(SEGUIMIENTO!$Z$23:$Z$122,"13",SEGUIMIENTO!$AA$23:$AA$122,"AMB")</f>
        <v>0</v>
      </c>
      <c r="BN101" s="243">
        <f>COUNTIFS(SEGUIMIENTO!$Z$23:$Z$122,"13",SEGUIMIENTO!$AA$23:$AA$122,"DDHH")</f>
        <v>0</v>
      </c>
      <c r="BO101" s="243">
        <f>COUNTIFS(SEGUIMIENTO!$Z$23:$Z$122,"13",SEGUIMIENTO!$AA$23:$AA$122,"SIND")</f>
        <v>0</v>
      </c>
      <c r="BP101" s="243">
        <f>COUNTIFS(SEGUIMIENTO!$Z$23:$Z$122,"13",SEGUIMIENTO!$AA$23:$AA$122,"REL")</f>
        <v>0</v>
      </c>
      <c r="BQ101" s="243">
        <f>COUNTIFS(SEGUIMIENTO!$Z$23:$Z$122,"13",SEGUIMIENTO!$AA$23:$AA$122,"OTR")</f>
        <v>0</v>
      </c>
      <c r="BR101" s="252">
        <f>COUNTIFS(SEGUIMIENTO!$Z$23:$Z$122,"13",SEGUIMIENTO!$AA$23:$AA$122,"N/A")</f>
        <v>0</v>
      </c>
      <c r="BS101" s="22"/>
      <c r="BT101" s="22"/>
      <c r="BU101" s="237">
        <f>COUNTIFS(SEGUIMIENTO!$Z$23:$Z$122,"13",SEGUIMIENTO!$AB$23:$AB$122,"RUR")</f>
        <v>0</v>
      </c>
      <c r="BV101" s="201">
        <f>COUNTIFS(SEGUIMIENTO!$Z$23:$Z$122,"13",SEGUIMIENTO!$AB$23:$AB$122,"URB")</f>
        <v>0</v>
      </c>
      <c r="BW101" s="22"/>
      <c r="BX101" s="22"/>
      <c r="BY101" s="237">
        <f>COUNTIFS(SEGUIMIENTO!$Z$23:$Z$122,"13",SEGUIMIENTO!$AD$23:$AD$122,"1")</f>
        <v>0</v>
      </c>
      <c r="BZ101" s="215">
        <f>COUNTIFS(SEGUIMIENTO!$Z$23:$Z$122,"13",SEGUIMIENTO!$AD$23:$AD$122,"2")</f>
        <v>0</v>
      </c>
      <c r="CA101" s="243">
        <f>COUNTIFS(SEGUIMIENTO!$Z$23:$Z$122,"13",SEGUIMIENTO!$AD$23:$AD$122,"3")</f>
        <v>0</v>
      </c>
      <c r="CB101" s="243">
        <f>COUNTIFS(SEGUIMIENTO!$Z$23:$Z$122,"13",SEGUIMIENTO!$AD$23:$AD$122,"4")</f>
        <v>0</v>
      </c>
      <c r="CC101" s="243">
        <f>COUNTIFS(SEGUIMIENTO!$Z$23:$Z$122,"13",SEGUIMIENTO!$AD$23:$AD$122,"5")</f>
        <v>0</v>
      </c>
      <c r="CD101" s="243">
        <f>COUNTIFS(SEGUIMIENTO!$Z$23:$Z$122,"13",SEGUIMIENTO!$AD$23:$AD$122,"6")</f>
        <v>0</v>
      </c>
      <c r="CE101" s="243">
        <f>COUNTIFS(SEGUIMIENTO!$Z$23:$Z$122,"13",SEGUIMIENTO!$AD$23:$AD$122,"7")</f>
        <v>0</v>
      </c>
      <c r="CF101" s="243">
        <f>COUNTIFS(SEGUIMIENTO!$Z$23:$Z$122,"13",SEGUIMIENTO!$AD$23:$AD$122,"8")</f>
        <v>0</v>
      </c>
      <c r="CG101" s="252">
        <f>COUNTIFS(SEGUIMIENTO!$Z$23:$Z$122,"13",SEGUIMIENTO!$AD$23:$AD$122,"9")</f>
        <v>0</v>
      </c>
      <c r="CH101" s="475"/>
      <c r="CI101" s="9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  <c r="CW101" s="155"/>
      <c r="CX101" s="155"/>
      <c r="CY101" s="155"/>
      <c r="CZ101" s="155"/>
      <c r="DA101" s="284"/>
      <c r="DB101" s="5"/>
      <c r="DC101" s="5"/>
      <c r="DD101" s="5"/>
      <c r="DE101" s="5"/>
      <c r="DF101" s="5"/>
      <c r="DG101" s="5"/>
      <c r="DH101" s="5"/>
      <c r="DI101" s="5"/>
      <c r="DJ101" s="5"/>
      <c r="DK101" s="10"/>
      <c r="DL101" s="5"/>
      <c r="DM101" s="5"/>
      <c r="DN101" s="5"/>
      <c r="DO101" s="5"/>
      <c r="DP101" s="5"/>
      <c r="DQ101" s="5"/>
      <c r="DR101" s="5"/>
      <c r="DS101" s="5"/>
    </row>
    <row r="102" spans="2:140" s="11" customFormat="1" ht="12.45" customHeight="1" x14ac:dyDescent="0.2">
      <c r="B102" s="112"/>
      <c r="C102" s="115"/>
      <c r="D102" s="295" t="s">
        <v>140</v>
      </c>
      <c r="E102" s="359"/>
      <c r="F102" s="359"/>
      <c r="G102" s="359"/>
      <c r="H102" s="359"/>
      <c r="I102" s="359"/>
      <c r="J102" s="359"/>
      <c r="K102" s="359"/>
      <c r="L102" s="359"/>
      <c r="M102" s="16">
        <f>COUNTIF(SEGUIMIENTO!Z$23:Z$122,"14")</f>
        <v>0</v>
      </c>
      <c r="N102" s="22"/>
      <c r="O102" s="182">
        <f>+CW16</f>
        <v>0</v>
      </c>
      <c r="P102" s="55">
        <f>+CW17</f>
        <v>0</v>
      </c>
      <c r="Q102" s="166">
        <f>+CW18</f>
        <v>0</v>
      </c>
      <c r="R102" s="55">
        <f>+CW19</f>
        <v>0</v>
      </c>
      <c r="S102" s="161">
        <f>+CW20</f>
        <v>0</v>
      </c>
      <c r="T102" s="16">
        <f>+CW21</f>
        <v>0</v>
      </c>
      <c r="U102" s="22"/>
      <c r="V102" s="22"/>
      <c r="W102" s="182">
        <f>+CW24</f>
        <v>0</v>
      </c>
      <c r="X102" s="55">
        <f>+CW25</f>
        <v>0</v>
      </c>
      <c r="Y102" s="166">
        <f>+CW26</f>
        <v>0</v>
      </c>
      <c r="Z102" s="55">
        <f>+CW27</f>
        <v>0</v>
      </c>
      <c r="AA102" s="161">
        <f>+CW28</f>
        <v>0</v>
      </c>
      <c r="AB102" s="55">
        <f>+CW29</f>
        <v>0</v>
      </c>
      <c r="AC102" s="198">
        <f>+CW30</f>
        <v>0</v>
      </c>
      <c r="AD102" s="22"/>
      <c r="AE102" s="22"/>
      <c r="AF102" s="182">
        <f>+CW33</f>
        <v>0</v>
      </c>
      <c r="AG102" s="16">
        <f>+CW34</f>
        <v>0</v>
      </c>
      <c r="AH102" s="22"/>
      <c r="AI102" s="22"/>
      <c r="AJ102" s="182">
        <f>+CW37</f>
        <v>0</v>
      </c>
      <c r="AK102" s="55">
        <f>+CW38</f>
        <v>0</v>
      </c>
      <c r="AL102" s="166">
        <f>+CW39</f>
        <v>0</v>
      </c>
      <c r="AM102" s="55">
        <f>+CW40</f>
        <v>0</v>
      </c>
      <c r="AN102" s="161">
        <f>+CW41</f>
        <v>0</v>
      </c>
      <c r="AO102" s="55">
        <f>+CW42</f>
        <v>0</v>
      </c>
      <c r="AP102" s="207">
        <f>+CW43</f>
        <v>0</v>
      </c>
      <c r="AQ102" s="150">
        <f>+CW44</f>
        <v>0</v>
      </c>
      <c r="AR102" s="209">
        <f>+CW45</f>
        <v>0</v>
      </c>
      <c r="AS102" s="150">
        <f>+CW46</f>
        <v>0</v>
      </c>
      <c r="AT102" s="211">
        <f>+CW47</f>
        <v>0</v>
      </c>
      <c r="AU102" s="150">
        <f>+CW48</f>
        <v>0</v>
      </c>
      <c r="AV102" s="201">
        <f>+CW49</f>
        <v>0</v>
      </c>
      <c r="AW102" s="22"/>
      <c r="AX102" s="22"/>
      <c r="AY102" s="270">
        <f>+CW52</f>
        <v>0</v>
      </c>
      <c r="AZ102" s="22"/>
      <c r="BA102" s="182">
        <f>+CW54</f>
        <v>0</v>
      </c>
      <c r="BB102" s="55">
        <f>+CW55</f>
        <v>0</v>
      </c>
      <c r="BC102" s="166">
        <f>+CW56</f>
        <v>0</v>
      </c>
      <c r="BD102" s="55">
        <f>+CW57</f>
        <v>0</v>
      </c>
      <c r="BE102" s="161">
        <f>+CW58</f>
        <v>0</v>
      </c>
      <c r="BF102" s="55">
        <f>+CW59</f>
        <v>0</v>
      </c>
      <c r="BG102" s="207">
        <f>+CW60</f>
        <v>0</v>
      </c>
      <c r="BH102" s="151">
        <f>+CW61</f>
        <v>0</v>
      </c>
      <c r="BI102" s="22"/>
      <c r="BJ102" s="22"/>
      <c r="BK102" s="235">
        <f>COUNTIFS(SEGUIMIENTO!$Z$23:$Z$122,"14",SEGUIMIENTO!$AA$23:$AA$122,"JAC")</f>
        <v>0</v>
      </c>
      <c r="BL102" s="55">
        <f>COUNTIFS(SEGUIMIENTO!$Z$23:$Z$122,"14",SEGUIMIENTO!$AA$23:$AA$122,"JAL")</f>
        <v>0</v>
      </c>
      <c r="BM102" s="241">
        <f>COUNTIFS(SEGUIMIENTO!$Z$23:$Z$122,"14",SEGUIMIENTO!$AA$23:$AA$122,"AMB")</f>
        <v>0</v>
      </c>
      <c r="BN102" s="241">
        <f>COUNTIFS(SEGUIMIENTO!$Z$23:$Z$122,"14",SEGUIMIENTO!$AA$23:$AA$122,"DDHH")</f>
        <v>0</v>
      </c>
      <c r="BO102" s="241">
        <f>COUNTIFS(SEGUIMIENTO!$Z$23:$Z$122,"14",SEGUIMIENTO!$AA$23:$AA$122,"SIND")</f>
        <v>0</v>
      </c>
      <c r="BP102" s="241">
        <f>COUNTIFS(SEGUIMIENTO!$Z$23:$Z$122,"14",SEGUIMIENTO!$AA$23:$AA$122,"REL")</f>
        <v>0</v>
      </c>
      <c r="BQ102" s="241">
        <f>COUNTIFS(SEGUIMIENTO!$Z$23:$Z$122,"14",SEGUIMIENTO!$AA$23:$AA$122,"OTR")</f>
        <v>0</v>
      </c>
      <c r="BR102" s="250">
        <f>COUNTIFS(SEGUIMIENTO!$Z$23:$Z$122,"14",SEGUIMIENTO!$AA$23:$AA$122,"N/A")</f>
        <v>0</v>
      </c>
      <c r="BS102" s="22"/>
      <c r="BT102" s="22"/>
      <c r="BU102" s="235">
        <f>COUNTIFS(SEGUIMIENTO!$Z$23:$Z$122,"14",SEGUIMIENTO!$AB$23:$AB$122,"RUR")</f>
        <v>0</v>
      </c>
      <c r="BV102" s="16">
        <f>COUNTIFS(SEGUIMIENTO!$Z$23:$Z$122,"14",SEGUIMIENTO!$AB$23:$AB$122,"URB")</f>
        <v>0</v>
      </c>
      <c r="BW102" s="22"/>
      <c r="BX102" s="22"/>
      <c r="BY102" s="235">
        <f>COUNTIFS(SEGUIMIENTO!$Z$23:$Z$122,"14",SEGUIMIENTO!$AD$23:$AD$122,"1")</f>
        <v>0</v>
      </c>
      <c r="BZ102" s="55">
        <f>COUNTIFS(SEGUIMIENTO!$Z$23:$Z$122,"14",SEGUIMIENTO!$AD$23:$AD$122,"2")</f>
        <v>0</v>
      </c>
      <c r="CA102" s="241">
        <f>COUNTIFS(SEGUIMIENTO!$Z$23:$Z$122,"14",SEGUIMIENTO!$AD$23:$AD$122,"3")</f>
        <v>0</v>
      </c>
      <c r="CB102" s="241">
        <f>COUNTIFS(SEGUIMIENTO!$Z$23:$Z$122,"14",SEGUIMIENTO!$AD$23:$AD$122,"4")</f>
        <v>0</v>
      </c>
      <c r="CC102" s="241">
        <f>COUNTIFS(SEGUIMIENTO!$Z$23:$Z$122,"14",SEGUIMIENTO!$AD$23:$AD$122,"5")</f>
        <v>0</v>
      </c>
      <c r="CD102" s="241">
        <f>COUNTIFS(SEGUIMIENTO!$Z$23:$Z$122,"14",SEGUIMIENTO!$AD$23:$AD$122,"6")</f>
        <v>0</v>
      </c>
      <c r="CE102" s="241">
        <f>COUNTIFS(SEGUIMIENTO!$Z$23:$Z$122,"14",SEGUIMIENTO!$AD$23:$AD$122,"7")</f>
        <v>0</v>
      </c>
      <c r="CF102" s="241">
        <f>COUNTIFS(SEGUIMIENTO!$Z$23:$Z$122,"14",SEGUIMIENTO!$AD$23:$AD$122,"8")</f>
        <v>0</v>
      </c>
      <c r="CG102" s="250">
        <f>COUNTIFS(SEGUIMIENTO!$Z$23:$Z$122,"14",SEGUIMIENTO!$AD$23:$AD$122,"9")</f>
        <v>0</v>
      </c>
      <c r="CH102" s="475"/>
      <c r="CI102" s="9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/>
      <c r="CY102" s="155"/>
      <c r="CZ102" s="155"/>
      <c r="DA102" s="284"/>
      <c r="DB102" s="5"/>
      <c r="DC102" s="5"/>
      <c r="DD102" s="5"/>
      <c r="DE102" s="5"/>
      <c r="DF102" s="5"/>
      <c r="DG102" s="5"/>
      <c r="DH102" s="5"/>
      <c r="DI102" s="5"/>
      <c r="DJ102" s="5"/>
      <c r="DK102" s="10"/>
      <c r="DL102" s="5"/>
      <c r="DM102" s="5"/>
      <c r="DN102" s="5"/>
      <c r="DO102" s="5"/>
      <c r="DP102" s="5"/>
      <c r="DQ102" s="5"/>
      <c r="DR102" s="5"/>
      <c r="DS102" s="5"/>
    </row>
    <row r="103" spans="2:140" s="11" customFormat="1" ht="12.45" customHeight="1" x14ac:dyDescent="0.2">
      <c r="B103" s="112"/>
      <c r="C103" s="115"/>
      <c r="D103" s="332" t="s">
        <v>141</v>
      </c>
      <c r="E103" s="362"/>
      <c r="F103" s="362"/>
      <c r="G103" s="362"/>
      <c r="H103" s="362"/>
      <c r="I103" s="362"/>
      <c r="J103" s="362"/>
      <c r="K103" s="362"/>
      <c r="L103" s="362"/>
      <c r="M103" s="230">
        <f>COUNTIF(SEGUIMIENTO!Z$23:Z$122,"15")</f>
        <v>0</v>
      </c>
      <c r="N103" s="22"/>
      <c r="O103" s="182">
        <f>+CX16</f>
        <v>0</v>
      </c>
      <c r="P103" s="55">
        <f>+CX17</f>
        <v>0</v>
      </c>
      <c r="Q103" s="166">
        <f>+CX18</f>
        <v>0</v>
      </c>
      <c r="R103" s="55">
        <f>+CX19</f>
        <v>0</v>
      </c>
      <c r="S103" s="161">
        <f>+CX20</f>
        <v>0</v>
      </c>
      <c r="T103" s="16">
        <f>+CX21</f>
        <v>0</v>
      </c>
      <c r="U103" s="22"/>
      <c r="V103" s="22"/>
      <c r="W103" s="182">
        <f>+CX24</f>
        <v>0</v>
      </c>
      <c r="X103" s="55">
        <f>+CX25</f>
        <v>0</v>
      </c>
      <c r="Y103" s="166">
        <f>+CX26</f>
        <v>0</v>
      </c>
      <c r="Z103" s="55">
        <f>+CX27</f>
        <v>0</v>
      </c>
      <c r="AA103" s="161">
        <f>+CX28</f>
        <v>0</v>
      </c>
      <c r="AB103" s="55">
        <f>+CX29</f>
        <v>0</v>
      </c>
      <c r="AC103" s="198">
        <f>+CX30</f>
        <v>0</v>
      </c>
      <c r="AD103" s="22"/>
      <c r="AE103" s="22"/>
      <c r="AF103" s="182">
        <f>+CX33</f>
        <v>0</v>
      </c>
      <c r="AG103" s="16">
        <f>+CX34</f>
        <v>0</v>
      </c>
      <c r="AH103" s="22"/>
      <c r="AI103" s="22"/>
      <c r="AJ103" s="182">
        <f>+CX37</f>
        <v>0</v>
      </c>
      <c r="AK103" s="55">
        <f>+CX38</f>
        <v>0</v>
      </c>
      <c r="AL103" s="166">
        <f>+CX39</f>
        <v>0</v>
      </c>
      <c r="AM103" s="55">
        <f>+CX40</f>
        <v>0</v>
      </c>
      <c r="AN103" s="161">
        <f>+CX41</f>
        <v>0</v>
      </c>
      <c r="AO103" s="55">
        <f>+CX42</f>
        <v>0</v>
      </c>
      <c r="AP103" s="207">
        <f>+CX43</f>
        <v>0</v>
      </c>
      <c r="AQ103" s="150">
        <f>+CX44</f>
        <v>0</v>
      </c>
      <c r="AR103" s="209">
        <f>+CX45</f>
        <v>0</v>
      </c>
      <c r="AS103" s="150">
        <f>+CX46</f>
        <v>0</v>
      </c>
      <c r="AT103" s="211">
        <f>+CX47</f>
        <v>0</v>
      </c>
      <c r="AU103" s="150">
        <f>+CX48</f>
        <v>0</v>
      </c>
      <c r="AV103" s="201">
        <f>+CX49</f>
        <v>0</v>
      </c>
      <c r="AW103" s="22"/>
      <c r="AX103" s="22"/>
      <c r="AY103" s="270">
        <f>+CX52</f>
        <v>0</v>
      </c>
      <c r="AZ103" s="22"/>
      <c r="BA103" s="182">
        <f>+CX54</f>
        <v>0</v>
      </c>
      <c r="BB103" s="55">
        <f>+CX55</f>
        <v>0</v>
      </c>
      <c r="BC103" s="166">
        <f>+CX56</f>
        <v>0</v>
      </c>
      <c r="BD103" s="55">
        <f>+CX57</f>
        <v>0</v>
      </c>
      <c r="BE103" s="161">
        <f>+CX58</f>
        <v>0</v>
      </c>
      <c r="BF103" s="55">
        <f>+CX59</f>
        <v>0</v>
      </c>
      <c r="BG103" s="207">
        <f>+CX60</f>
        <v>0</v>
      </c>
      <c r="BH103" s="151">
        <f>+CX61</f>
        <v>0</v>
      </c>
      <c r="BI103" s="22"/>
      <c r="BJ103" s="22"/>
      <c r="BK103" s="238">
        <f>COUNTIFS(SEGUIMIENTO!$Z$23:$Z$122,"15",SEGUIMIENTO!$AA$23:$AA$122,"JAC")</f>
        <v>0</v>
      </c>
      <c r="BL103" s="245">
        <f>COUNTIFS(SEGUIMIENTO!$Z$23:$Z$122,"15",SEGUIMIENTO!$AA$23:$AA$122,"JAL")</f>
        <v>0</v>
      </c>
      <c r="BM103" s="244">
        <f>COUNTIFS(SEGUIMIENTO!$Z$23:$Z$122,"15",SEGUIMIENTO!$AA$23:$AA$122,"AMB")</f>
        <v>0</v>
      </c>
      <c r="BN103" s="244">
        <f>COUNTIFS(SEGUIMIENTO!$Z$23:$Z$122,"15",SEGUIMIENTO!$AA$23:$AA$122,"DDHH")</f>
        <v>0</v>
      </c>
      <c r="BO103" s="244">
        <f>COUNTIFS(SEGUIMIENTO!$Z$23:$Z$122,"15",SEGUIMIENTO!$AA$23:$AA$122,"SIND")</f>
        <v>0</v>
      </c>
      <c r="BP103" s="244">
        <f>COUNTIFS(SEGUIMIENTO!$Z$23:$Z$122,"15",SEGUIMIENTO!$AA$23:$AA$122,"REL")</f>
        <v>0</v>
      </c>
      <c r="BQ103" s="244">
        <f>COUNTIFS(SEGUIMIENTO!$Z$23:$Z$122,"15",SEGUIMIENTO!$AA$23:$AA$122,"OTR")</f>
        <v>0</v>
      </c>
      <c r="BR103" s="253">
        <f>COUNTIFS(SEGUIMIENTO!$Z$23:$Z$122,"15",SEGUIMIENTO!$AA$23:$AA$122,"N/A")</f>
        <v>0</v>
      </c>
      <c r="BS103" s="22"/>
      <c r="BT103" s="22"/>
      <c r="BU103" s="238">
        <f>COUNTIFS(SEGUIMIENTO!$Z$23:$Z$122,"15",SEGUIMIENTO!$AB$23:$AB$122,"RUR")</f>
        <v>0</v>
      </c>
      <c r="BV103" s="230">
        <f>COUNTIFS(SEGUIMIENTO!$Z$23:$Z$122,"15",SEGUIMIENTO!$AB$23:$AB$122,"URB")</f>
        <v>0</v>
      </c>
      <c r="BW103" s="22"/>
      <c r="BX103" s="22"/>
      <c r="BY103" s="238">
        <f>COUNTIFS(SEGUIMIENTO!$Z$23:$Z$122,"15",SEGUIMIENTO!$AD$23:$AD$122,"1")</f>
        <v>0</v>
      </c>
      <c r="BZ103" s="245">
        <f>COUNTIFS(SEGUIMIENTO!$Z$23:$Z$122,"15",SEGUIMIENTO!$AD$23:$AD$122,"2")</f>
        <v>0</v>
      </c>
      <c r="CA103" s="244">
        <f>COUNTIFS(SEGUIMIENTO!$Z$23:$Z$122,"15",SEGUIMIENTO!$AD$23:$AD$122,"3")</f>
        <v>0</v>
      </c>
      <c r="CB103" s="244">
        <f>COUNTIFS(SEGUIMIENTO!$Z$23:$Z$122,"15",SEGUIMIENTO!$AD$23:$AD$122,"4")</f>
        <v>0</v>
      </c>
      <c r="CC103" s="244">
        <f>COUNTIFS(SEGUIMIENTO!$Z$23:$Z$122,"15",SEGUIMIENTO!$AD$23:$AD$122,"5")</f>
        <v>0</v>
      </c>
      <c r="CD103" s="244">
        <f>COUNTIFS(SEGUIMIENTO!$Z$23:$Z$122,"15",SEGUIMIENTO!$AD$23:$AD$122,"6")</f>
        <v>0</v>
      </c>
      <c r="CE103" s="244">
        <f>COUNTIFS(SEGUIMIENTO!$Z$23:$Z$122,"15",SEGUIMIENTO!$AD$23:$AD$122,"7")</f>
        <v>0</v>
      </c>
      <c r="CF103" s="244">
        <f>COUNTIFS(SEGUIMIENTO!$Z$23:$Z$122,"15",SEGUIMIENTO!$AD$23:$AD$122,"8")</f>
        <v>0</v>
      </c>
      <c r="CG103" s="253">
        <f>COUNTIFS(SEGUIMIENTO!$Z$23:$Z$122,"15",SEGUIMIENTO!$AD$23:$AD$122,"9")</f>
        <v>0</v>
      </c>
      <c r="CH103" s="475"/>
      <c r="CI103" s="9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284"/>
      <c r="DB103" s="5"/>
      <c r="DC103" s="5"/>
      <c r="DD103" s="5"/>
      <c r="DE103" s="5"/>
      <c r="DF103" s="5"/>
      <c r="DG103" s="5"/>
      <c r="DH103" s="5"/>
      <c r="DI103" s="5"/>
      <c r="DJ103" s="5"/>
      <c r="DK103" s="10"/>
      <c r="DL103" s="5"/>
      <c r="DM103" s="5"/>
      <c r="DN103" s="5"/>
      <c r="DO103" s="5"/>
      <c r="DP103" s="5"/>
      <c r="DQ103" s="5"/>
      <c r="DR103" s="5"/>
      <c r="DS103" s="5"/>
    </row>
    <row r="104" spans="2:140" s="11" customFormat="1" ht="12.45" customHeight="1" x14ac:dyDescent="0.2">
      <c r="B104" s="112"/>
      <c r="C104" s="115"/>
      <c r="D104" s="295" t="s">
        <v>142</v>
      </c>
      <c r="E104" s="359"/>
      <c r="F104" s="359"/>
      <c r="G104" s="359"/>
      <c r="H104" s="359"/>
      <c r="I104" s="359"/>
      <c r="J104" s="359"/>
      <c r="K104" s="359"/>
      <c r="L104" s="359"/>
      <c r="M104" s="16">
        <f>COUNTIF(SEGUIMIENTO!Z$23:Z$122,"16")</f>
        <v>0</v>
      </c>
      <c r="N104" s="22"/>
      <c r="O104" s="182">
        <f>+CY16</f>
        <v>0</v>
      </c>
      <c r="P104" s="55">
        <f>+CY17</f>
        <v>0</v>
      </c>
      <c r="Q104" s="166">
        <f>+CY18</f>
        <v>0</v>
      </c>
      <c r="R104" s="55">
        <f>+CY19</f>
        <v>0</v>
      </c>
      <c r="S104" s="161">
        <f>+CY20</f>
        <v>0</v>
      </c>
      <c r="T104" s="16">
        <f>+CY21</f>
        <v>0</v>
      </c>
      <c r="U104" s="22"/>
      <c r="V104" s="22"/>
      <c r="W104" s="182">
        <f>+CY24</f>
        <v>0</v>
      </c>
      <c r="X104" s="55">
        <f>+CY25</f>
        <v>0</v>
      </c>
      <c r="Y104" s="166">
        <f>+CY26</f>
        <v>0</v>
      </c>
      <c r="Z104" s="55">
        <f>+CY27</f>
        <v>0</v>
      </c>
      <c r="AA104" s="161">
        <f>+CY28</f>
        <v>0</v>
      </c>
      <c r="AB104" s="55">
        <f>+CY29</f>
        <v>0</v>
      </c>
      <c r="AC104" s="198">
        <f>+CY30</f>
        <v>0</v>
      </c>
      <c r="AD104" s="22"/>
      <c r="AE104" s="22"/>
      <c r="AF104" s="182">
        <f>+CY33</f>
        <v>0</v>
      </c>
      <c r="AG104" s="16">
        <f>+CY34</f>
        <v>0</v>
      </c>
      <c r="AH104" s="22"/>
      <c r="AI104" s="22"/>
      <c r="AJ104" s="182">
        <f>+CY37</f>
        <v>0</v>
      </c>
      <c r="AK104" s="55">
        <f>+CY38</f>
        <v>0</v>
      </c>
      <c r="AL104" s="166">
        <f>+CY39</f>
        <v>0</v>
      </c>
      <c r="AM104" s="55">
        <f>+CY40</f>
        <v>0</v>
      </c>
      <c r="AN104" s="161">
        <f>+CY41</f>
        <v>0</v>
      </c>
      <c r="AO104" s="55">
        <f>+CY42</f>
        <v>0</v>
      </c>
      <c r="AP104" s="207">
        <f>+CY43</f>
        <v>0</v>
      </c>
      <c r="AQ104" s="150">
        <f>+CY44</f>
        <v>0</v>
      </c>
      <c r="AR104" s="209">
        <f>+CY45</f>
        <v>0</v>
      </c>
      <c r="AS104" s="150">
        <f>+CY46</f>
        <v>0</v>
      </c>
      <c r="AT104" s="211">
        <f>+CY47</f>
        <v>0</v>
      </c>
      <c r="AU104" s="150">
        <f>+CY48</f>
        <v>0</v>
      </c>
      <c r="AV104" s="201">
        <f>+CY49</f>
        <v>0</v>
      </c>
      <c r="AW104" s="22"/>
      <c r="AX104" s="22"/>
      <c r="AY104" s="270">
        <f>+CY52</f>
        <v>0</v>
      </c>
      <c r="AZ104" s="22"/>
      <c r="BA104" s="182">
        <f>+CY54</f>
        <v>0</v>
      </c>
      <c r="BB104" s="55">
        <f>+CY55</f>
        <v>0</v>
      </c>
      <c r="BC104" s="166">
        <f>+CY56</f>
        <v>0</v>
      </c>
      <c r="BD104" s="55">
        <f>+CY57</f>
        <v>0</v>
      </c>
      <c r="BE104" s="161">
        <f>+CY58</f>
        <v>0</v>
      </c>
      <c r="BF104" s="55">
        <f>+CY59</f>
        <v>0</v>
      </c>
      <c r="BG104" s="207">
        <f>+CY60</f>
        <v>0</v>
      </c>
      <c r="BH104" s="151">
        <f>+CY61</f>
        <v>0</v>
      </c>
      <c r="BI104" s="22"/>
      <c r="BJ104" s="22"/>
      <c r="BK104" s="235">
        <f>COUNTIFS(SEGUIMIENTO!$Z$23:$Z$122,"16",SEGUIMIENTO!$AA$23:$AA$122,"JAC")</f>
        <v>0</v>
      </c>
      <c r="BL104" s="55">
        <f>COUNTIFS(SEGUIMIENTO!$Z$23:$Z$122,"16",SEGUIMIENTO!$AA$23:$AA$122,"JAL")</f>
        <v>0</v>
      </c>
      <c r="BM104" s="241">
        <f>COUNTIFS(SEGUIMIENTO!$Z$23:$Z$122,"16",SEGUIMIENTO!$AA$23:$AA$122,"AMB")</f>
        <v>0</v>
      </c>
      <c r="BN104" s="241">
        <f>COUNTIFS(SEGUIMIENTO!$Z$23:$Z$122,"16",SEGUIMIENTO!$AA$23:$AA$122,"DDHH")</f>
        <v>0</v>
      </c>
      <c r="BO104" s="241">
        <f>COUNTIFS(SEGUIMIENTO!$Z$23:$Z$122,"16",SEGUIMIENTO!$AA$23:$AA$122,"SIND")</f>
        <v>0</v>
      </c>
      <c r="BP104" s="241">
        <f>COUNTIFS(SEGUIMIENTO!$Z$23:$Z$122,"16",SEGUIMIENTO!$AA$23:$AA$122,"REL")</f>
        <v>0</v>
      </c>
      <c r="BQ104" s="241">
        <f>COUNTIFS(SEGUIMIENTO!$Z$23:$Z$122,"16",SEGUIMIENTO!$AA$23:$AA$122,"OTR")</f>
        <v>0</v>
      </c>
      <c r="BR104" s="250">
        <f>COUNTIFS(SEGUIMIENTO!$Z$23:$Z$122,"16",SEGUIMIENTO!$AA$23:$AA$122,"N/A")</f>
        <v>0</v>
      </c>
      <c r="BS104" s="22"/>
      <c r="BT104" s="22"/>
      <c r="BU104" s="235">
        <f>COUNTIFS(SEGUIMIENTO!$Z$23:$Z$122,"16",SEGUIMIENTO!$AB$23:$AB$122,"RUR")</f>
        <v>0</v>
      </c>
      <c r="BV104" s="16">
        <f>COUNTIFS(SEGUIMIENTO!$Z$23:$Z$122,"16",SEGUIMIENTO!$AB$23:$AB$122,"URB")</f>
        <v>0</v>
      </c>
      <c r="BW104" s="22"/>
      <c r="BX104" s="22"/>
      <c r="BY104" s="235">
        <f>COUNTIFS(SEGUIMIENTO!$Z$23:$Z$122,"16",SEGUIMIENTO!$AD$23:$AD$122,"1")</f>
        <v>0</v>
      </c>
      <c r="BZ104" s="55">
        <f>COUNTIFS(SEGUIMIENTO!$Z$23:$Z$122,"16",SEGUIMIENTO!$AD$23:$AD$122,"2")</f>
        <v>0</v>
      </c>
      <c r="CA104" s="241">
        <f>COUNTIFS(SEGUIMIENTO!$Z$23:$Z$122,"16",SEGUIMIENTO!$AD$23:$AD$122,"3")</f>
        <v>0</v>
      </c>
      <c r="CB104" s="241">
        <f>COUNTIFS(SEGUIMIENTO!$Z$23:$Z$122,"16",SEGUIMIENTO!$AD$23:$AD$122,"4")</f>
        <v>0</v>
      </c>
      <c r="CC104" s="241">
        <f>COUNTIFS(SEGUIMIENTO!$Z$23:$Z$122,"16",SEGUIMIENTO!$AD$23:$AD$122,"5")</f>
        <v>0</v>
      </c>
      <c r="CD104" s="241">
        <f>COUNTIFS(SEGUIMIENTO!$Z$23:$Z$122,"16",SEGUIMIENTO!$AD$23:$AD$122,"6")</f>
        <v>0</v>
      </c>
      <c r="CE104" s="241">
        <f>COUNTIFS(SEGUIMIENTO!$Z$23:$Z$122,"16",SEGUIMIENTO!$AD$23:$AD$122,"7")</f>
        <v>0</v>
      </c>
      <c r="CF104" s="241">
        <f>COUNTIFS(SEGUIMIENTO!$Z$23:$Z$122,"16",SEGUIMIENTO!$AD$23:$AD$122,"8")</f>
        <v>0</v>
      </c>
      <c r="CG104" s="250">
        <f>COUNTIFS(SEGUIMIENTO!$Z$23:$Z$122,"16",SEGUIMIENTO!$AD$23:$AD$122,"9")</f>
        <v>0</v>
      </c>
      <c r="CH104" s="475"/>
      <c r="CI104" s="9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  <c r="CW104" s="155"/>
      <c r="CX104" s="155"/>
      <c r="CY104" s="155"/>
      <c r="CZ104" s="155"/>
      <c r="DA104" s="284"/>
      <c r="DB104" s="5"/>
      <c r="DC104" s="5"/>
      <c r="DD104" s="5"/>
      <c r="DE104" s="5"/>
      <c r="DF104" s="5"/>
      <c r="DG104" s="5"/>
      <c r="DH104" s="5"/>
      <c r="DI104" s="5"/>
      <c r="DJ104" s="5"/>
      <c r="DK104" s="10"/>
      <c r="DL104" s="5"/>
      <c r="DM104" s="5"/>
      <c r="DN104" s="5"/>
      <c r="DO104" s="5"/>
      <c r="DP104" s="5"/>
      <c r="DQ104" s="5"/>
      <c r="DR104" s="5"/>
      <c r="DS104" s="5"/>
    </row>
    <row r="105" spans="2:140" s="11" customFormat="1" ht="12.45" customHeight="1" thickBot="1" x14ac:dyDescent="0.25">
      <c r="B105" s="112"/>
      <c r="C105" s="115"/>
      <c r="D105" s="537" t="s">
        <v>172</v>
      </c>
      <c r="E105" s="538"/>
      <c r="F105" s="538"/>
      <c r="G105" s="538"/>
      <c r="H105" s="538"/>
      <c r="I105" s="538"/>
      <c r="J105" s="538"/>
      <c r="K105" s="538"/>
      <c r="L105" s="538"/>
      <c r="M105" s="255">
        <f>COUNTIF(SEGUIMIENTO!Z$23:Z$122,"N/A")</f>
        <v>0</v>
      </c>
      <c r="N105" s="22"/>
      <c r="O105" s="183">
        <f>+CZ16</f>
        <v>0</v>
      </c>
      <c r="P105" s="19">
        <f>+CZ17</f>
        <v>0</v>
      </c>
      <c r="Q105" s="185">
        <f>+CZ18</f>
        <v>0</v>
      </c>
      <c r="R105" s="19">
        <f>+CZ19</f>
        <v>0</v>
      </c>
      <c r="S105" s="187">
        <f>+CZ20</f>
        <v>0</v>
      </c>
      <c r="T105" s="20">
        <f>+CZ21</f>
        <v>0</v>
      </c>
      <c r="U105" s="22"/>
      <c r="V105" s="22"/>
      <c r="W105" s="183">
        <f>+CZ24</f>
        <v>0</v>
      </c>
      <c r="X105" s="19">
        <f>+CZ25</f>
        <v>0</v>
      </c>
      <c r="Y105" s="185">
        <f>+CZ26</f>
        <v>0</v>
      </c>
      <c r="Z105" s="19">
        <f>+CZ27</f>
        <v>0</v>
      </c>
      <c r="AA105" s="187">
        <f>+CZ28</f>
        <v>0</v>
      </c>
      <c r="AB105" s="19">
        <f>+CZ29</f>
        <v>0</v>
      </c>
      <c r="AC105" s="188">
        <f>+CZ30</f>
        <v>0</v>
      </c>
      <c r="AD105" s="22"/>
      <c r="AE105" s="22"/>
      <c r="AF105" s="183">
        <f>+CZ33</f>
        <v>0</v>
      </c>
      <c r="AG105" s="20">
        <f>+CZ34</f>
        <v>0</v>
      </c>
      <c r="AH105" s="22"/>
      <c r="AI105" s="22"/>
      <c r="AJ105" s="183">
        <f>+CZ37</f>
        <v>0</v>
      </c>
      <c r="AK105" s="19">
        <f>+CZ38</f>
        <v>0</v>
      </c>
      <c r="AL105" s="185">
        <f>+CZ39</f>
        <v>0</v>
      </c>
      <c r="AM105" s="19">
        <f>+CZ42</f>
        <v>0</v>
      </c>
      <c r="AN105" s="187">
        <f>+CZ41</f>
        <v>0</v>
      </c>
      <c r="AO105" s="19">
        <f>+CZ42</f>
        <v>0</v>
      </c>
      <c r="AP105" s="190">
        <f>+CZ43</f>
        <v>0</v>
      </c>
      <c r="AQ105" s="153">
        <f>+CZ44</f>
        <v>0</v>
      </c>
      <c r="AR105" s="268">
        <f>+CZ45</f>
        <v>0</v>
      </c>
      <c r="AS105" s="153">
        <f>+CZ46</f>
        <v>0</v>
      </c>
      <c r="AT105" s="269">
        <f>+CZ47</f>
        <v>0</v>
      </c>
      <c r="AU105" s="153">
        <f>+CZ48</f>
        <v>0</v>
      </c>
      <c r="AV105" s="214">
        <f>+CZ49</f>
        <v>0</v>
      </c>
      <c r="AW105" s="22"/>
      <c r="AX105" s="22"/>
      <c r="AY105" s="271">
        <f>+CZ52</f>
        <v>0</v>
      </c>
      <c r="AZ105" s="22"/>
      <c r="BA105" s="183">
        <f>+CZ54</f>
        <v>0</v>
      </c>
      <c r="BB105" s="19">
        <f>+CZ55</f>
        <v>0</v>
      </c>
      <c r="BC105" s="185">
        <f>+CZ56</f>
        <v>0</v>
      </c>
      <c r="BD105" s="19">
        <f>+CZ57</f>
        <v>0</v>
      </c>
      <c r="BE105" s="187">
        <f>+CZ58</f>
        <v>0</v>
      </c>
      <c r="BF105" s="19">
        <f>+CZ59</f>
        <v>0</v>
      </c>
      <c r="BG105" s="190">
        <f>+CZ60</f>
        <v>0</v>
      </c>
      <c r="BH105" s="154">
        <f>+CZ61</f>
        <v>0</v>
      </c>
      <c r="BI105" s="22"/>
      <c r="BJ105" s="22"/>
      <c r="BK105" s="539">
        <f>COUNTIFS(SEGUIMIENTO!$Z$23:$Z$122,"N/A",SEGUIMIENTO!$AA$23:$AA$122,"JAC")</f>
        <v>0</v>
      </c>
      <c r="BL105" s="254">
        <f>COUNTIFS(SEGUIMIENTO!$Z$23:$Z$122,"N/A",SEGUIMIENTO!$AA$23:$AA$122,"JAL")</f>
        <v>0</v>
      </c>
      <c r="BM105" s="254">
        <f>COUNTIFS(SEGUIMIENTO!$Z$23:$Z$122,"N/A",SEGUIMIENTO!$AA$23:$AA$122,"AMB")</f>
        <v>0</v>
      </c>
      <c r="BN105" s="254">
        <f>COUNTIFS(SEGUIMIENTO!$Z$23:$Z$122,"N/A",SEGUIMIENTO!$AA$23:$AA$122,"DDHH")</f>
        <v>0</v>
      </c>
      <c r="BO105" s="254">
        <f>COUNTIFS(SEGUIMIENTO!$Z$23:$Z$122,"N/A",SEGUIMIENTO!$AA$23:$AA$122,"SIND")</f>
        <v>0</v>
      </c>
      <c r="BP105" s="254">
        <f>COUNTIFS(SEGUIMIENTO!$Z$23:$Z$122,"N/A",SEGUIMIENTO!$AA$23:$AA$122,"REL")</f>
        <v>0</v>
      </c>
      <c r="BQ105" s="254">
        <f>COUNTIFS(SEGUIMIENTO!$Z$23:$Z$122,"N/A",SEGUIMIENTO!$AA$23:$AA$122,"OTR")</f>
        <v>0</v>
      </c>
      <c r="BR105" s="255">
        <f>COUNTIFS(SEGUIMIENTO!$Z$23:$Z$122,"N/A",SEGUIMIENTO!$AA$23:$AA$122,"N/A")</f>
        <v>0</v>
      </c>
      <c r="BS105" s="22"/>
      <c r="BT105" s="22"/>
      <c r="BU105" s="539">
        <f>COUNTIFS(SEGUIMIENTO!$Z$23:$Z$122,"N/A",SEGUIMIENTO!$AB$23:$AB$122,"RUR")</f>
        <v>0</v>
      </c>
      <c r="BV105" s="255">
        <f>COUNTIFS(SEGUIMIENTO!$Z$23:$Z$122,"N/A",SEGUIMIENTO!$AB$23:$AB$122,"URB")</f>
        <v>0</v>
      </c>
      <c r="BW105" s="22"/>
      <c r="BX105" s="22"/>
      <c r="BY105" s="539">
        <f>COUNTIFS(SEGUIMIENTO!$Z$23:$Z$122,"N/A",SEGUIMIENTO!$AD$23:$AD$122,"1")</f>
        <v>0</v>
      </c>
      <c r="BZ105" s="254">
        <f>COUNTIFS(SEGUIMIENTO!$Z$23:$Z$122,"N/A",SEGUIMIENTO!$AD$23:$AD$122,"2")</f>
        <v>0</v>
      </c>
      <c r="CA105" s="254">
        <f>COUNTIFS(SEGUIMIENTO!$Z$23:$Z$122,"N/A",SEGUIMIENTO!$AD$23:$AD$122,"3")</f>
        <v>0</v>
      </c>
      <c r="CB105" s="254">
        <f>COUNTIFS(SEGUIMIENTO!$Z$23:$Z$122,"N/A",SEGUIMIENTO!$AD$23:$AD$122,"4")</f>
        <v>0</v>
      </c>
      <c r="CC105" s="254">
        <f>COUNTIFS(SEGUIMIENTO!$Z$23:$Z$122,"N/A",SEGUIMIENTO!$AD$23:$AD$122,"5")</f>
        <v>0</v>
      </c>
      <c r="CD105" s="254">
        <f>COUNTIFS(SEGUIMIENTO!$Z$23:$Z$122,"N/A",SEGUIMIENTO!$AD$23:$AD$122,"6")</f>
        <v>0</v>
      </c>
      <c r="CE105" s="254">
        <f>COUNTIFS(SEGUIMIENTO!$Z$23:$Z$122,"N/A",SEGUIMIENTO!$AD$23:$AD$122,"7")</f>
        <v>0</v>
      </c>
      <c r="CF105" s="254">
        <f>COUNTIFS(SEGUIMIENTO!$Z$23:$Z$122,"N/A",SEGUIMIENTO!$AD$23:$AD$122,"8")</f>
        <v>0</v>
      </c>
      <c r="CG105" s="255">
        <f>COUNTIFS(SEGUIMIENTO!$Z$23:$Z$122,"N/A",SEGUIMIENTO!$AD$23:$AD$122,"9")</f>
        <v>0</v>
      </c>
      <c r="CH105" s="259"/>
      <c r="CI105" s="9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  <c r="CW105" s="155"/>
      <c r="CX105" s="155"/>
      <c r="CY105" s="155"/>
      <c r="CZ105" s="155"/>
      <c r="DA105" s="284"/>
      <c r="DB105" s="5"/>
      <c r="DC105" s="5"/>
      <c r="DD105" s="5"/>
      <c r="DE105" s="5"/>
      <c r="DF105" s="5"/>
      <c r="DG105" s="5"/>
      <c r="DH105" s="5"/>
      <c r="DI105" s="5"/>
      <c r="DJ105" s="5"/>
      <c r="DK105" s="10"/>
      <c r="DL105" s="5"/>
      <c r="DM105" s="5"/>
      <c r="DN105" s="5"/>
      <c r="DO105" s="5"/>
      <c r="DP105" s="5"/>
      <c r="DQ105" s="5"/>
      <c r="DR105" s="5"/>
      <c r="DS105" s="5"/>
    </row>
    <row r="106" spans="2:140" s="11" customFormat="1" ht="12.45" customHeight="1" thickBot="1" x14ac:dyDescent="0.25">
      <c r="B106" s="113"/>
      <c r="C106" s="292"/>
      <c r="D106" s="300" t="s">
        <v>90</v>
      </c>
      <c r="E106" s="301"/>
      <c r="F106" s="301"/>
      <c r="G106" s="301"/>
      <c r="H106" s="301"/>
      <c r="I106" s="301"/>
      <c r="J106" s="301"/>
      <c r="K106" s="301"/>
      <c r="L106" s="301"/>
      <c r="M106" s="144">
        <f>SUM(M89:M105)</f>
        <v>0</v>
      </c>
      <c r="N106" s="9"/>
      <c r="O106" s="9">
        <f>SUM(O89:O105)</f>
        <v>0</v>
      </c>
      <c r="P106" s="9">
        <f t="shared" ref="P106:T106" si="149">SUM(P89:P105)</f>
        <v>0</v>
      </c>
      <c r="Q106" s="9">
        <f t="shared" si="149"/>
        <v>0</v>
      </c>
      <c r="R106" s="9">
        <f t="shared" si="149"/>
        <v>0</v>
      </c>
      <c r="S106" s="9">
        <f t="shared" si="149"/>
        <v>0</v>
      </c>
      <c r="T106" s="9">
        <f t="shared" si="149"/>
        <v>0</v>
      </c>
      <c r="U106" s="142">
        <f>SUM(O106:T106)</f>
        <v>0</v>
      </c>
      <c r="V106" s="9"/>
      <c r="W106" s="9">
        <f t="shared" ref="W106:AC106" si="150">SUM(W89:W105)</f>
        <v>0</v>
      </c>
      <c r="X106" s="9">
        <f t="shared" si="150"/>
        <v>0</v>
      </c>
      <c r="Y106" s="9">
        <f t="shared" si="150"/>
        <v>0</v>
      </c>
      <c r="Z106" s="9">
        <f t="shared" si="150"/>
        <v>0</v>
      </c>
      <c r="AA106" s="9">
        <f t="shared" si="150"/>
        <v>0</v>
      </c>
      <c r="AB106" s="9">
        <f t="shared" si="150"/>
        <v>0</v>
      </c>
      <c r="AC106" s="9">
        <f t="shared" si="150"/>
        <v>0</v>
      </c>
      <c r="AD106" s="142">
        <f>SUM(W106:AC106)</f>
        <v>0</v>
      </c>
      <c r="AE106" s="22"/>
      <c r="AF106" s="9">
        <f t="shared" ref="AF106:AG106" si="151">SUM(AF89:AF105)</f>
        <v>0</v>
      </c>
      <c r="AG106" s="9">
        <f t="shared" si="151"/>
        <v>0</v>
      </c>
      <c r="AH106" s="142">
        <f>SUM(AF106:AG106)</f>
        <v>0</v>
      </c>
      <c r="AI106" s="22"/>
      <c r="AJ106" s="9">
        <f t="shared" ref="AJ106:AV106" si="152">SUM(AJ89:AJ105)</f>
        <v>0</v>
      </c>
      <c r="AK106" s="9">
        <f t="shared" si="152"/>
        <v>0</v>
      </c>
      <c r="AL106" s="9">
        <f t="shared" si="152"/>
        <v>0</v>
      </c>
      <c r="AM106" s="9">
        <f t="shared" si="152"/>
        <v>0</v>
      </c>
      <c r="AN106" s="9">
        <f t="shared" si="152"/>
        <v>0</v>
      </c>
      <c r="AO106" s="9">
        <f t="shared" si="152"/>
        <v>0</v>
      </c>
      <c r="AP106" s="9">
        <f t="shared" si="152"/>
        <v>0</v>
      </c>
      <c r="AQ106" s="9">
        <f t="shared" si="152"/>
        <v>0</v>
      </c>
      <c r="AR106" s="9">
        <f t="shared" si="152"/>
        <v>0</v>
      </c>
      <c r="AS106" s="9">
        <f t="shared" si="152"/>
        <v>0</v>
      </c>
      <c r="AT106" s="9">
        <f t="shared" si="152"/>
        <v>0</v>
      </c>
      <c r="AU106" s="9">
        <f t="shared" si="152"/>
        <v>0</v>
      </c>
      <c r="AV106" s="9">
        <f t="shared" si="152"/>
        <v>0</v>
      </c>
      <c r="AW106" s="142">
        <f>SUM(AJ106:AV106)</f>
        <v>0</v>
      </c>
      <c r="AX106" s="22"/>
      <c r="AY106" s="142">
        <f>SUM(AY89:AY105)</f>
        <v>0</v>
      </c>
      <c r="AZ106" s="22"/>
      <c r="BA106" s="9">
        <f t="shared" ref="BA106:BH106" si="153">SUM(BA89:BA105)</f>
        <v>0</v>
      </c>
      <c r="BB106" s="9">
        <f t="shared" si="153"/>
        <v>0</v>
      </c>
      <c r="BC106" s="9">
        <f t="shared" si="153"/>
        <v>0</v>
      </c>
      <c r="BD106" s="9">
        <f t="shared" si="153"/>
        <v>0</v>
      </c>
      <c r="BE106" s="9">
        <f t="shared" si="153"/>
        <v>0</v>
      </c>
      <c r="BF106" s="9">
        <f t="shared" si="153"/>
        <v>0</v>
      </c>
      <c r="BG106" s="9">
        <f t="shared" si="153"/>
        <v>0</v>
      </c>
      <c r="BH106" s="9">
        <f t="shared" si="153"/>
        <v>0</v>
      </c>
      <c r="BI106" s="142">
        <f>SUM(BA106:BH106)</f>
        <v>0</v>
      </c>
      <c r="BJ106" s="22"/>
      <c r="BK106" s="10">
        <f>SUM(BK89:BK105)</f>
        <v>0</v>
      </c>
      <c r="BL106" s="10">
        <f t="shared" ref="BL106:BR106" si="154">SUM(BL89:BL105)</f>
        <v>0</v>
      </c>
      <c r="BM106" s="10">
        <f t="shared" si="154"/>
        <v>0</v>
      </c>
      <c r="BN106" s="10">
        <f t="shared" si="154"/>
        <v>0</v>
      </c>
      <c r="BO106" s="10">
        <f t="shared" si="154"/>
        <v>0</v>
      </c>
      <c r="BP106" s="10">
        <f t="shared" si="154"/>
        <v>0</v>
      </c>
      <c r="BQ106" s="10">
        <f t="shared" si="154"/>
        <v>0</v>
      </c>
      <c r="BR106" s="148">
        <f t="shared" si="154"/>
        <v>0</v>
      </c>
      <c r="BS106" s="140">
        <f>SUM(BK106:BQ106)</f>
        <v>0</v>
      </c>
      <c r="BT106" s="10"/>
      <c r="BU106" s="10">
        <f t="shared" ref="BU106" si="155">SUM(BU89:BU105)</f>
        <v>0</v>
      </c>
      <c r="BV106" s="10">
        <f t="shared" ref="BV106" si="156">SUM(BV89:BV105)</f>
        <v>0</v>
      </c>
      <c r="BW106" s="142">
        <f>SUM(BU106:BV106)</f>
        <v>0</v>
      </c>
      <c r="BX106" s="10"/>
      <c r="BY106" s="10">
        <f t="shared" ref="BY106:CG106" si="157">SUM(BY89:BY105)</f>
        <v>0</v>
      </c>
      <c r="BZ106" s="10">
        <f t="shared" si="157"/>
        <v>0</v>
      </c>
      <c r="CA106" s="10">
        <f t="shared" si="157"/>
        <v>0</v>
      </c>
      <c r="CB106" s="10">
        <f t="shared" si="157"/>
        <v>0</v>
      </c>
      <c r="CC106" s="10">
        <f t="shared" si="157"/>
        <v>0</v>
      </c>
      <c r="CD106" s="10">
        <f t="shared" si="157"/>
        <v>0</v>
      </c>
      <c r="CE106" s="10">
        <f t="shared" si="157"/>
        <v>0</v>
      </c>
      <c r="CF106" s="10">
        <f t="shared" si="157"/>
        <v>0</v>
      </c>
      <c r="CG106" s="10">
        <f t="shared" si="157"/>
        <v>0</v>
      </c>
      <c r="CH106" s="142">
        <f>SUM(BY106:CG106)</f>
        <v>0</v>
      </c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259"/>
      <c r="DB106" s="5"/>
      <c r="DC106" s="5"/>
      <c r="DD106" s="5"/>
      <c r="DE106" s="5"/>
      <c r="DF106" s="5"/>
      <c r="DG106" s="5"/>
      <c r="DH106" s="5"/>
      <c r="DI106" s="5"/>
      <c r="DJ106" s="5"/>
      <c r="DK106" s="10"/>
      <c r="DL106" s="5"/>
      <c r="DM106" s="5"/>
      <c r="DN106" s="5"/>
      <c r="DO106" s="5"/>
      <c r="DP106" s="5"/>
      <c r="DQ106" s="5"/>
      <c r="DR106" s="5"/>
      <c r="DS106" s="5"/>
    </row>
    <row r="107" spans="2:140" s="11" customFormat="1" x14ac:dyDescent="0.25">
      <c r="N107" s="34"/>
      <c r="O107" s="34"/>
      <c r="P107" s="34"/>
      <c r="Q107" s="34"/>
      <c r="R107" s="34"/>
      <c r="S107" s="34"/>
      <c r="T107" s="34"/>
      <c r="U107" s="34"/>
      <c r="V107" s="34"/>
      <c r="CI107" s="283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4"/>
      <c r="DK107" s="34"/>
      <c r="EJ107" s="147"/>
    </row>
    <row r="108" spans="2:140" x14ac:dyDescent="0.25"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</row>
  </sheetData>
  <sheetProtection algorithmName="SHA-512" hashValue="8EQpCF9niQcbhDyVyOQ0holmkGuxZVau/YHEgslHeHkvkuG7Xz15gSUY1Nid1yJxWeFis1j0oo7zcVcl52xQ6w==" saltValue="0uKSNW/VUz/rWgMFpAzXhw==" spinCount="100000" sheet="1" objects="1" scenarios="1" selectLockedCells="1"/>
  <mergeCells count="248">
    <mergeCell ref="CD9:CD14"/>
    <mergeCell ref="CE9:CE14"/>
    <mergeCell ref="CF9:CF14"/>
    <mergeCell ref="CG9:CG14"/>
    <mergeCell ref="BY9:BY14"/>
    <mergeCell ref="BZ9:BZ14"/>
    <mergeCell ref="CA9:CA14"/>
    <mergeCell ref="CB9:CB14"/>
    <mergeCell ref="CC9:CC14"/>
    <mergeCell ref="BP9:BP14"/>
    <mergeCell ref="BQ9:BQ14"/>
    <mergeCell ref="BR9:BR14"/>
    <mergeCell ref="BU9:BU14"/>
    <mergeCell ref="BV9:BV14"/>
    <mergeCell ref="BK9:BK14"/>
    <mergeCell ref="BL9:BL14"/>
    <mergeCell ref="BM9:BM14"/>
    <mergeCell ref="BN9:BN14"/>
    <mergeCell ref="BO9:BO14"/>
    <mergeCell ref="DB4:DE5"/>
    <mergeCell ref="DF4:DR5"/>
    <mergeCell ref="CJ6:CM6"/>
    <mergeCell ref="CN6:CR6"/>
    <mergeCell ref="CS6:CV6"/>
    <mergeCell ref="CW6:DR6"/>
    <mergeCell ref="CN1:DI1"/>
    <mergeCell ref="DJ1:DM1"/>
    <mergeCell ref="DN1:DR1"/>
    <mergeCell ref="CJ2:CM2"/>
    <mergeCell ref="CN2:CR2"/>
    <mergeCell ref="CS2:CV3"/>
    <mergeCell ref="CW2:DE3"/>
    <mergeCell ref="DF2:DI3"/>
    <mergeCell ref="DJ2:DR3"/>
    <mergeCell ref="CJ3:CM3"/>
    <mergeCell ref="CN3:CR3"/>
    <mergeCell ref="BL2:BT3"/>
    <mergeCell ref="BU2:BX3"/>
    <mergeCell ref="BY2:CG3"/>
    <mergeCell ref="AY3:BB3"/>
    <mergeCell ref="BC3:BG3"/>
    <mergeCell ref="AS1:AW1"/>
    <mergeCell ref="AY1:BB1"/>
    <mergeCell ref="BC1:BX1"/>
    <mergeCell ref="BY1:CB1"/>
    <mergeCell ref="CC1:CG1"/>
    <mergeCell ref="AG4:AJ5"/>
    <mergeCell ref="AK4:AW5"/>
    <mergeCell ref="S4:AF5"/>
    <mergeCell ref="O6:R6"/>
    <mergeCell ref="X6:AA6"/>
    <mergeCell ref="S6:W6"/>
    <mergeCell ref="AB6:AW6"/>
    <mergeCell ref="B8:M8"/>
    <mergeCell ref="B11:M11"/>
    <mergeCell ref="O4:R5"/>
    <mergeCell ref="O2:R2"/>
    <mergeCell ref="O3:R3"/>
    <mergeCell ref="X2:AA3"/>
    <mergeCell ref="AK2:AN3"/>
    <mergeCell ref="DY10:DY14"/>
    <mergeCell ref="DZ10:DZ14"/>
    <mergeCell ref="EA10:EA14"/>
    <mergeCell ref="EB10:EB14"/>
    <mergeCell ref="EC10:EC14"/>
    <mergeCell ref="CY9:CY14"/>
    <mergeCell ref="CZ9:CZ14"/>
    <mergeCell ref="CT9:CT14"/>
    <mergeCell ref="CU9:CU14"/>
    <mergeCell ref="CV9:CV14"/>
    <mergeCell ref="CW9:CW14"/>
    <mergeCell ref="CX9:CX14"/>
    <mergeCell ref="CK9:CK14"/>
    <mergeCell ref="CL9:CL14"/>
    <mergeCell ref="CM9:CM14"/>
    <mergeCell ref="CN9:CN14"/>
    <mergeCell ref="CO9:CO14"/>
    <mergeCell ref="CP9:CP14"/>
    <mergeCell ref="CQ9:CQ14"/>
    <mergeCell ref="CR9:CR14"/>
    <mergeCell ref="CS9:CS14"/>
    <mergeCell ref="CJ1:CM1"/>
    <mergeCell ref="AY2:BB2"/>
    <mergeCell ref="BC2:BG2"/>
    <mergeCell ref="BH2:BK3"/>
    <mergeCell ref="AB2:AJ3"/>
    <mergeCell ref="AO2:AW3"/>
    <mergeCell ref="S2:W2"/>
    <mergeCell ref="S3:W3"/>
    <mergeCell ref="BF9:BF14"/>
    <mergeCell ref="BG9:BG14"/>
    <mergeCell ref="BH9:BH14"/>
    <mergeCell ref="BA9:BA14"/>
    <mergeCell ref="BB9:BB14"/>
    <mergeCell ref="BC9:BC14"/>
    <mergeCell ref="BD9:BD14"/>
    <mergeCell ref="BE9:BE14"/>
    <mergeCell ref="O1:R1"/>
    <mergeCell ref="B2:M2"/>
    <mergeCell ref="S1:AN1"/>
    <mergeCell ref="AO1:AR1"/>
    <mergeCell ref="AS9:AS14"/>
    <mergeCell ref="AT9:AT14"/>
    <mergeCell ref="AU9:AU14"/>
    <mergeCell ref="AV9:AV14"/>
    <mergeCell ref="B10:M10"/>
    <mergeCell ref="B13:M14"/>
    <mergeCell ref="W9:W14"/>
    <mergeCell ref="X9:X14"/>
    <mergeCell ref="Y9:Y14"/>
    <mergeCell ref="Z9:Z14"/>
    <mergeCell ref="AA9:AA14"/>
    <mergeCell ref="D83:L83"/>
    <mergeCell ref="D84:L84"/>
    <mergeCell ref="D85:L85"/>
    <mergeCell ref="D86:L86"/>
    <mergeCell ref="D87:L87"/>
    <mergeCell ref="D78:L78"/>
    <mergeCell ref="D79:L79"/>
    <mergeCell ref="D80:L80"/>
    <mergeCell ref="D81:L81"/>
    <mergeCell ref="D82:L82"/>
    <mergeCell ref="D71:L71"/>
    <mergeCell ref="D72:L72"/>
    <mergeCell ref="D74:L74"/>
    <mergeCell ref="D75:L75"/>
    <mergeCell ref="D76:L76"/>
    <mergeCell ref="D66:L66"/>
    <mergeCell ref="D67:L67"/>
    <mergeCell ref="D68:L68"/>
    <mergeCell ref="D69:L69"/>
    <mergeCell ref="D70:L70"/>
    <mergeCell ref="D104:L104"/>
    <mergeCell ref="D105:L105"/>
    <mergeCell ref="D106:L106"/>
    <mergeCell ref="D64:L64"/>
    <mergeCell ref="D65:L65"/>
    <mergeCell ref="D99:L99"/>
    <mergeCell ref="D100:L100"/>
    <mergeCell ref="D101:L101"/>
    <mergeCell ref="D102:L102"/>
    <mergeCell ref="D103:L103"/>
    <mergeCell ref="D93:L93"/>
    <mergeCell ref="D94:L94"/>
    <mergeCell ref="D95:L95"/>
    <mergeCell ref="D96:L96"/>
    <mergeCell ref="D97:L97"/>
    <mergeCell ref="D89:L89"/>
    <mergeCell ref="D90:L90"/>
    <mergeCell ref="D91:L91"/>
    <mergeCell ref="D92:L92"/>
    <mergeCell ref="O9:O14"/>
    <mergeCell ref="P9:P14"/>
    <mergeCell ref="Q9:Q14"/>
    <mergeCell ref="R9:R14"/>
    <mergeCell ref="S9:S14"/>
    <mergeCell ref="T9:T14"/>
    <mergeCell ref="B6:M6"/>
    <mergeCell ref="D58:L58"/>
    <mergeCell ref="D59:L59"/>
    <mergeCell ref="D60:L60"/>
    <mergeCell ref="D61:L61"/>
    <mergeCell ref="D62:L62"/>
    <mergeCell ref="B52:L52"/>
    <mergeCell ref="D54:L54"/>
    <mergeCell ref="D55:L55"/>
    <mergeCell ref="D56:L56"/>
    <mergeCell ref="D57:L57"/>
    <mergeCell ref="D46:L46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B64:C72"/>
    <mergeCell ref="B74:C76"/>
    <mergeCell ref="B78:C87"/>
    <mergeCell ref="D17:L17"/>
    <mergeCell ref="D18:L18"/>
    <mergeCell ref="D19:L19"/>
    <mergeCell ref="D20:L20"/>
    <mergeCell ref="D21:L21"/>
    <mergeCell ref="D22:L22"/>
    <mergeCell ref="D24:L24"/>
    <mergeCell ref="D25:L25"/>
    <mergeCell ref="D26:L26"/>
    <mergeCell ref="D27:L27"/>
    <mergeCell ref="D28:L28"/>
    <mergeCell ref="D29:L29"/>
    <mergeCell ref="D30:L30"/>
    <mergeCell ref="D16:L16"/>
    <mergeCell ref="D98:L98"/>
    <mergeCell ref="B89:C106"/>
    <mergeCell ref="B54:C62"/>
    <mergeCell ref="B37:C50"/>
    <mergeCell ref="B33:C35"/>
    <mergeCell ref="D31:L31"/>
    <mergeCell ref="D33:L33"/>
    <mergeCell ref="D34:L34"/>
    <mergeCell ref="D35:L35"/>
    <mergeCell ref="D37:L37"/>
    <mergeCell ref="D38:L38"/>
    <mergeCell ref="D39:L39"/>
    <mergeCell ref="D40:L40"/>
    <mergeCell ref="CJ9:CJ14"/>
    <mergeCell ref="DU10:DU14"/>
    <mergeCell ref="DV10:DV14"/>
    <mergeCell ref="DW10:DW14"/>
    <mergeCell ref="DX10:DX14"/>
    <mergeCell ref="BU8:BV8"/>
    <mergeCell ref="O8:T8"/>
    <mergeCell ref="AY8:AY14"/>
    <mergeCell ref="BK8:BR8"/>
    <mergeCell ref="AK9:AK14"/>
    <mergeCell ref="AL9:AL14"/>
    <mergeCell ref="AM9:AM14"/>
    <mergeCell ref="AN9:AN14"/>
    <mergeCell ref="AO9:AO14"/>
    <mergeCell ref="AP9:AP14"/>
    <mergeCell ref="AQ9:AQ14"/>
    <mergeCell ref="AR9:AR14"/>
    <mergeCell ref="AF9:AF14"/>
    <mergeCell ref="AG9:AG14"/>
    <mergeCell ref="AJ9:AJ14"/>
    <mergeCell ref="AB9:AB14"/>
    <mergeCell ref="AC9:AC14"/>
    <mergeCell ref="BY8:CG8"/>
    <mergeCell ref="AF8:AG8"/>
    <mergeCell ref="BA8:BH8"/>
    <mergeCell ref="AJ8:AV8"/>
    <mergeCell ref="CJ8:CZ8"/>
    <mergeCell ref="W8:AC8"/>
    <mergeCell ref="B16:C22"/>
    <mergeCell ref="B24:C31"/>
    <mergeCell ref="AY4:BB5"/>
    <mergeCell ref="BC4:BP5"/>
    <mergeCell ref="BQ4:BT5"/>
    <mergeCell ref="BU4:CG5"/>
    <mergeCell ref="AY6:BB6"/>
    <mergeCell ref="BC6:BG6"/>
    <mergeCell ref="BH6:BK6"/>
    <mergeCell ref="BL6:CG6"/>
    <mergeCell ref="CJ4:CM5"/>
    <mergeCell ref="CN4:DA5"/>
  </mergeCells>
  <pageMargins left="0.70866141732283472" right="0.51181102362204722" top="0.35433070866141736" bottom="0.55118110236220474" header="0.31496062992125984" footer="0.31496062992125984"/>
  <pageSetup paperSize="135" scale="59" orientation="portrait" horizontalDpi="1200" verticalDpi="1200" r:id="rId1"/>
  <colBreaks count="2" manualBreakCount="2">
    <brk id="49" min="1" max="105" man="1"/>
    <brk id="86" min="1" max="10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workbookViewId="0">
      <selection activeCell="B4" sqref="B4"/>
    </sheetView>
  </sheetViews>
  <sheetFormatPr baseColWidth="10" defaultRowHeight="14.4" x14ac:dyDescent="0.3"/>
  <cols>
    <col min="1" max="1" width="14.88671875" bestFit="1" customWidth="1"/>
  </cols>
  <sheetData>
    <row r="1" spans="1:4" x14ac:dyDescent="0.3">
      <c r="A1" s="2" t="s">
        <v>15</v>
      </c>
      <c r="B1" s="2" t="s">
        <v>16</v>
      </c>
      <c r="C1" t="s">
        <v>21</v>
      </c>
      <c r="D1" t="s">
        <v>27</v>
      </c>
    </row>
    <row r="2" spans="1:4" x14ac:dyDescent="0.3">
      <c r="A2" s="1" t="s">
        <v>11</v>
      </c>
      <c r="B2" s="1" t="s">
        <v>17</v>
      </c>
      <c r="C2" t="s">
        <v>9</v>
      </c>
      <c r="D2" t="s">
        <v>28</v>
      </c>
    </row>
    <row r="3" spans="1:4" x14ac:dyDescent="0.3">
      <c r="A3" s="1" t="s">
        <v>12</v>
      </c>
      <c r="B3" s="1" t="s">
        <v>50</v>
      </c>
      <c r="C3" t="s">
        <v>10</v>
      </c>
      <c r="D3" t="s">
        <v>22</v>
      </c>
    </row>
    <row r="4" spans="1:4" x14ac:dyDescent="0.3">
      <c r="A4" s="1" t="s">
        <v>13</v>
      </c>
      <c r="B4" s="1" t="s">
        <v>18</v>
      </c>
      <c r="D4" t="s">
        <v>23</v>
      </c>
    </row>
    <row r="5" spans="1:4" x14ac:dyDescent="0.3">
      <c r="A5" s="1" t="s">
        <v>14</v>
      </c>
      <c r="B5" s="1" t="s">
        <v>19</v>
      </c>
      <c r="D5" t="s">
        <v>8</v>
      </c>
    </row>
    <row r="6" spans="1:4" x14ac:dyDescent="0.3">
      <c r="B6" s="1" t="s">
        <v>20</v>
      </c>
      <c r="D6" t="s">
        <v>24</v>
      </c>
    </row>
    <row r="7" spans="1:4" x14ac:dyDescent="0.3">
      <c r="D7" t="s">
        <v>25</v>
      </c>
    </row>
    <row r="8" spans="1:4" x14ac:dyDescent="0.3">
      <c r="D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SEGUIMIENTO</vt:lpstr>
      <vt:lpstr>TOTALES</vt:lpstr>
      <vt:lpstr>DATOS</vt:lpstr>
      <vt:lpstr>SEGUIMIENTO!Área_de_impresión</vt:lpstr>
      <vt:lpstr>TOTALES!Área_de_impresión</vt:lpstr>
      <vt:lpstr>c_especial</vt:lpstr>
      <vt:lpstr>G_ETNICO</vt:lpstr>
      <vt:lpstr>SEGUIMIENTO!GE</vt:lpstr>
      <vt:lpstr>SEGUIMIENTO!GRUPO_ETNICO</vt:lpstr>
      <vt:lpstr>GRUPO_ETNICO</vt:lpstr>
      <vt:lpstr>identifica</vt:lpstr>
      <vt:lpstr>sexo</vt:lpstr>
      <vt:lpstr>SEGUIMIENTO!Títulos_a_imprimir</vt:lpstr>
      <vt:lpstr>TOTALES!Títulos_a_imprimir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 RODRÍGUEZ</dc:creator>
  <cp:lastModifiedBy>Carlos E Rodríguez V</cp:lastModifiedBy>
  <cp:lastPrinted>2022-05-12T22:22:08Z</cp:lastPrinted>
  <dcterms:created xsi:type="dcterms:W3CDTF">2012-05-17T13:15:41Z</dcterms:created>
  <dcterms:modified xsi:type="dcterms:W3CDTF">2022-05-12T23:24:47Z</dcterms:modified>
</cp:coreProperties>
</file>